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asd1\csm\EES\_EES - Private\Website\"/>
    </mc:Choice>
  </mc:AlternateContent>
  <bookViews>
    <workbookView xWindow="0" yWindow="0" windowWidth="28800" windowHeight="12300" tabRatio="549" activeTab="1"/>
  </bookViews>
  <sheets>
    <sheet name="Instructions" sheetId="4" r:id="rId1"/>
    <sheet name="Calc P iterative" sheetId="2" r:id="rId2"/>
    <sheet name="Input P" sheetId="1" r:id="rId3"/>
    <sheet name="Parental Magma Calc" sheetId="6" r:id="rId4"/>
    <sheet name="Rhodes Diagram" sheetId="5" r:id="rId5"/>
    <sheet name="Rhodes Diag Calcs" sheetId="3" r:id="rId6"/>
  </sheets>
  <calcPr calcId="162913" iterate="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I41" i="2" l="1"/>
  <c r="BY41" i="2"/>
  <c r="BU41" i="2"/>
  <c r="BV41" i="2"/>
  <c r="BW41" i="2"/>
  <c r="BX41" i="2"/>
  <c r="BZ41" i="2"/>
  <c r="CA41" i="2"/>
  <c r="CB41" i="2"/>
  <c r="CC41" i="2"/>
  <c r="CD41" i="2"/>
  <c r="CE41" i="2"/>
  <c r="CF41" i="2"/>
  <c r="CK41" i="2" s="1"/>
  <c r="R41" i="2"/>
  <c r="EE41" i="2"/>
  <c r="EB41" i="2"/>
  <c r="EM41" i="2" s="1"/>
  <c r="EC41" i="2"/>
  <c r="ED41" i="2"/>
  <c r="EF41" i="2"/>
  <c r="EG41" i="2"/>
  <c r="ES41" i="2" s="1"/>
  <c r="EH41" i="2"/>
  <c r="EI41" i="2"/>
  <c r="EJ41" i="2"/>
  <c r="EK41" i="2"/>
  <c r="EL41" i="2"/>
  <c r="FR41" i="2"/>
  <c r="FU41" i="2" s="1"/>
  <c r="BD41" i="2"/>
  <c r="HL41" i="2"/>
  <c r="HK41" i="2"/>
  <c r="BL41" i="2"/>
  <c r="BM41" i="2" s="1"/>
  <c r="BQ41" i="2"/>
  <c r="BR41" i="2"/>
  <c r="BS41" i="2" s="1"/>
  <c r="CO41" i="2"/>
  <c r="CP41" i="2"/>
  <c r="CQ41" i="2"/>
  <c r="GD41" i="2"/>
  <c r="DI42" i="2"/>
  <c r="BY42" i="2"/>
  <c r="BU42" i="2"/>
  <c r="BV42" i="2"/>
  <c r="BW42" i="2"/>
  <c r="BX42" i="2"/>
  <c r="BZ42" i="2"/>
  <c r="CA42" i="2"/>
  <c r="CB42" i="2"/>
  <c r="CC42" i="2"/>
  <c r="CD42" i="2"/>
  <c r="CE42" i="2"/>
  <c r="R42" i="2"/>
  <c r="EE42" i="2"/>
  <c r="EB42" i="2"/>
  <c r="EM42" i="2" s="1"/>
  <c r="EC42" i="2"/>
  <c r="ED42" i="2"/>
  <c r="EF42" i="2"/>
  <c r="EG42" i="2"/>
  <c r="ES42" i="2" s="1"/>
  <c r="EH42" i="2"/>
  <c r="EI42" i="2"/>
  <c r="EJ42" i="2"/>
  <c r="EK42" i="2"/>
  <c r="EW42" i="2" s="1"/>
  <c r="EL42" i="2"/>
  <c r="FR42" i="2"/>
  <c r="FU42" i="2" s="1"/>
  <c r="BD42" i="2"/>
  <c r="HL42" i="2"/>
  <c r="BL42" i="2" s="1"/>
  <c r="BM42" i="2" s="1"/>
  <c r="HK42" i="2"/>
  <c r="BQ42" i="2"/>
  <c r="BR42" i="2"/>
  <c r="BS42" i="2" s="1"/>
  <c r="GD42" i="2"/>
  <c r="DI43" i="2"/>
  <c r="BY43" i="2"/>
  <c r="BU43" i="2"/>
  <c r="BV43" i="2"/>
  <c r="BW43" i="2"/>
  <c r="BX43" i="2"/>
  <c r="BZ43" i="2"/>
  <c r="CA43" i="2"/>
  <c r="CB43" i="2"/>
  <c r="CC43" i="2"/>
  <c r="CD43" i="2"/>
  <c r="CE43" i="2"/>
  <c r="R43" i="2"/>
  <c r="EE43" i="2"/>
  <c r="EB43" i="2"/>
  <c r="EM43" i="2" s="1"/>
  <c r="EC43" i="2"/>
  <c r="ED43" i="2"/>
  <c r="EF43" i="2"/>
  <c r="EG43" i="2"/>
  <c r="ES43" i="2" s="1"/>
  <c r="EH43" i="2"/>
  <c r="EI43" i="2"/>
  <c r="EJ43" i="2"/>
  <c r="EK43" i="2"/>
  <c r="EW43" i="2" s="1"/>
  <c r="EL43" i="2"/>
  <c r="FR43" i="2"/>
  <c r="FU43" i="2" s="1"/>
  <c r="BD43" i="2"/>
  <c r="HL43" i="2"/>
  <c r="BL43" i="2" s="1"/>
  <c r="BM43" i="2" s="1"/>
  <c r="HK43" i="2"/>
  <c r="BQ43" i="2"/>
  <c r="BR43" i="2"/>
  <c r="BS43" i="2" s="1"/>
  <c r="GD43" i="2"/>
  <c r="DI44" i="2"/>
  <c r="BY44" i="2"/>
  <c r="BU44" i="2"/>
  <c r="BV44" i="2"/>
  <c r="BW44" i="2"/>
  <c r="BX44" i="2"/>
  <c r="BZ44" i="2"/>
  <c r="CA44" i="2"/>
  <c r="CB44" i="2"/>
  <c r="CC44" i="2"/>
  <c r="CD44" i="2"/>
  <c r="CE44" i="2"/>
  <c r="R44" i="2"/>
  <c r="EE44" i="2"/>
  <c r="EB44" i="2"/>
  <c r="EC44" i="2"/>
  <c r="ED44" i="2"/>
  <c r="EF44" i="2"/>
  <c r="EG44" i="2"/>
  <c r="EH44" i="2"/>
  <c r="EI44" i="2"/>
  <c r="EJ44" i="2"/>
  <c r="EK44" i="2"/>
  <c r="EL44" i="2"/>
  <c r="FR44" i="2"/>
  <c r="FU44" i="2" s="1"/>
  <c r="BD44" i="2"/>
  <c r="HL44" i="2"/>
  <c r="BL44" i="2" s="1"/>
  <c r="BM44" i="2" s="1"/>
  <c r="HK44" i="2"/>
  <c r="BQ44" i="2"/>
  <c r="BR44" i="2"/>
  <c r="BS44" i="2"/>
  <c r="GD44" i="2"/>
  <c r="DI45" i="2"/>
  <c r="BY45" i="2"/>
  <c r="BU45" i="2"/>
  <c r="BV45" i="2"/>
  <c r="CF45" i="2" s="1"/>
  <c r="BW45" i="2"/>
  <c r="BX45" i="2"/>
  <c r="BZ45" i="2"/>
  <c r="CA45" i="2"/>
  <c r="CB45" i="2"/>
  <c r="CC45" i="2"/>
  <c r="CD45" i="2"/>
  <c r="CE45" i="2"/>
  <c r="CQ45" i="2" s="1"/>
  <c r="R45" i="2"/>
  <c r="EE45" i="2"/>
  <c r="EB45" i="2"/>
  <c r="EC45" i="2"/>
  <c r="ED45" i="2"/>
  <c r="EF45" i="2"/>
  <c r="EG45" i="2"/>
  <c r="EH45" i="2"/>
  <c r="EI45" i="2"/>
  <c r="EJ45" i="2"/>
  <c r="EK45" i="2"/>
  <c r="EL45" i="2"/>
  <c r="FR45" i="2"/>
  <c r="FU45" i="2"/>
  <c r="BD45" i="2"/>
  <c r="HL45" i="2"/>
  <c r="HK45" i="2"/>
  <c r="BL45" i="2" s="1"/>
  <c r="BM45" i="2" s="1"/>
  <c r="BQ45" i="2"/>
  <c r="BR45" i="2"/>
  <c r="BS45" i="2" s="1"/>
  <c r="GD45" i="2"/>
  <c r="DI46" i="2"/>
  <c r="BY46" i="2"/>
  <c r="BU46" i="2"/>
  <c r="BV46" i="2"/>
  <c r="BW46" i="2"/>
  <c r="BX46" i="2"/>
  <c r="BZ46" i="2"/>
  <c r="CA46" i="2"/>
  <c r="CB46" i="2"/>
  <c r="CC46" i="2"/>
  <c r="CD46" i="2"/>
  <c r="CE46" i="2"/>
  <c r="R46" i="2"/>
  <c r="EE46" i="2"/>
  <c r="EB46" i="2"/>
  <c r="EC46" i="2"/>
  <c r="ED46" i="2"/>
  <c r="EF46" i="2"/>
  <c r="ER46" i="2" s="1"/>
  <c r="EG46" i="2"/>
  <c r="EH46" i="2"/>
  <c r="EI46" i="2"/>
  <c r="EJ46" i="2"/>
  <c r="EV46" i="2" s="1"/>
  <c r="EK46" i="2"/>
  <c r="EL46" i="2"/>
  <c r="EM46" i="2"/>
  <c r="FR46" i="2"/>
  <c r="FU46" i="2"/>
  <c r="BD46" i="2"/>
  <c r="HL46" i="2"/>
  <c r="HK46" i="2"/>
  <c r="BL46" i="2"/>
  <c r="BM46" i="2" s="1"/>
  <c r="EW46" i="2"/>
  <c r="ET46" i="2"/>
  <c r="EN46" i="2"/>
  <c r="BQ46" i="2"/>
  <c r="BR46" i="2"/>
  <c r="BS46" i="2"/>
  <c r="GD46" i="2"/>
  <c r="DI47" i="2"/>
  <c r="BY47" i="2"/>
  <c r="BU47" i="2"/>
  <c r="BV47" i="2"/>
  <c r="BW47" i="2"/>
  <c r="BX47" i="2"/>
  <c r="BZ47" i="2"/>
  <c r="CA47" i="2"/>
  <c r="CB47" i="2"/>
  <c r="CC47" i="2"/>
  <c r="CD47" i="2"/>
  <c r="CE47" i="2"/>
  <c r="R47" i="2"/>
  <c r="EE47" i="2"/>
  <c r="EB47" i="2"/>
  <c r="EC47" i="2"/>
  <c r="ED47" i="2"/>
  <c r="EF47" i="2"/>
  <c r="EG47" i="2"/>
  <c r="EH47" i="2"/>
  <c r="EI47" i="2"/>
  <c r="EJ47" i="2"/>
  <c r="EK47" i="2"/>
  <c r="EL47" i="2"/>
  <c r="FR47" i="2"/>
  <c r="FU47" i="2"/>
  <c r="BD47" i="2"/>
  <c r="HL47" i="2"/>
  <c r="BL47" i="2" s="1"/>
  <c r="BM47" i="2" s="1"/>
  <c r="HK47" i="2"/>
  <c r="BQ47" i="2"/>
  <c r="BR47" i="2"/>
  <c r="BS47" i="2" s="1"/>
  <c r="GD47" i="2"/>
  <c r="DI48" i="2"/>
  <c r="BY48" i="2"/>
  <c r="BU48" i="2"/>
  <c r="BV48" i="2"/>
  <c r="BW48" i="2"/>
  <c r="BX48" i="2"/>
  <c r="BZ48" i="2"/>
  <c r="CA48" i="2"/>
  <c r="CB48" i="2"/>
  <c r="CC48" i="2"/>
  <c r="CD48" i="2"/>
  <c r="CE48" i="2"/>
  <c r="R48" i="2"/>
  <c r="EE48" i="2"/>
  <c r="EB48" i="2"/>
  <c r="EC48" i="2"/>
  <c r="ED48" i="2"/>
  <c r="EF48" i="2"/>
  <c r="EG48" i="2"/>
  <c r="EH48" i="2"/>
  <c r="EI48" i="2"/>
  <c r="EJ48" i="2"/>
  <c r="EK48" i="2"/>
  <c r="EL48" i="2"/>
  <c r="FR48" i="2"/>
  <c r="FU48" i="2" s="1"/>
  <c r="BD48" i="2"/>
  <c r="HL48" i="2"/>
  <c r="BL48" i="2" s="1"/>
  <c r="HK48" i="2"/>
  <c r="BM48" i="2"/>
  <c r="BQ48" i="2"/>
  <c r="BR48" i="2"/>
  <c r="BS48" i="2" s="1"/>
  <c r="GD48" i="2"/>
  <c r="DI49" i="2"/>
  <c r="BY49" i="2"/>
  <c r="BU49" i="2"/>
  <c r="BV49" i="2"/>
  <c r="BW49" i="2"/>
  <c r="BX49" i="2"/>
  <c r="BZ49" i="2"/>
  <c r="CA49" i="2"/>
  <c r="CB49" i="2"/>
  <c r="CN49" i="2" s="1"/>
  <c r="CC49" i="2"/>
  <c r="CD49" i="2"/>
  <c r="CE49" i="2"/>
  <c r="CF49" i="2"/>
  <c r="R49" i="2"/>
  <c r="EE49" i="2"/>
  <c r="EB49" i="2"/>
  <c r="EC49" i="2"/>
  <c r="ED49" i="2"/>
  <c r="EF49" i="2"/>
  <c r="EG49" i="2"/>
  <c r="EH49" i="2"/>
  <c r="EI49" i="2"/>
  <c r="EJ49" i="2"/>
  <c r="EK49" i="2"/>
  <c r="EL49" i="2"/>
  <c r="EM49" i="2"/>
  <c r="FR49" i="2"/>
  <c r="FU49" i="2" s="1"/>
  <c r="BD49" i="2"/>
  <c r="HL49" i="2"/>
  <c r="HK49" i="2"/>
  <c r="BL49" i="2"/>
  <c r="BM49" i="2"/>
  <c r="ER49" i="2"/>
  <c r="EN49" i="2"/>
  <c r="BQ49" i="2"/>
  <c r="BR49" i="2"/>
  <c r="BS49" i="2"/>
  <c r="EX49" i="2"/>
  <c r="GD49" i="2"/>
  <c r="DI50" i="2"/>
  <c r="BY50" i="2"/>
  <c r="BU50" i="2"/>
  <c r="BV50" i="2"/>
  <c r="BW50" i="2"/>
  <c r="BX50" i="2"/>
  <c r="BZ50" i="2"/>
  <c r="CA50" i="2"/>
  <c r="CB50" i="2"/>
  <c r="CC50" i="2"/>
  <c r="CD50" i="2"/>
  <c r="CE50" i="2"/>
  <c r="CF50" i="2"/>
  <c r="R50" i="2"/>
  <c r="EE50" i="2"/>
  <c r="EB50" i="2"/>
  <c r="EC50" i="2"/>
  <c r="EO50" i="2" s="1"/>
  <c r="ED50" i="2"/>
  <c r="EF50" i="2"/>
  <c r="EG50" i="2"/>
  <c r="EH50" i="2"/>
  <c r="EI50" i="2"/>
  <c r="EJ50" i="2"/>
  <c r="EK50" i="2"/>
  <c r="EL50" i="2"/>
  <c r="EX50" i="2" s="1"/>
  <c r="EM50" i="2"/>
  <c r="FR50" i="2"/>
  <c r="FU50" i="2"/>
  <c r="BD50" i="2"/>
  <c r="HL50" i="2"/>
  <c r="HK50" i="2"/>
  <c r="BL50" i="2"/>
  <c r="BM50" i="2" s="1"/>
  <c r="EW50" i="2"/>
  <c r="ET50" i="2"/>
  <c r="EN50" i="2"/>
  <c r="BQ50" i="2"/>
  <c r="BR50" i="2"/>
  <c r="BS50" i="2"/>
  <c r="GD50" i="2"/>
  <c r="DI51" i="2"/>
  <c r="BY51" i="2"/>
  <c r="BU51" i="2"/>
  <c r="CF51" i="2" s="1"/>
  <c r="BV51" i="2"/>
  <c r="BW51" i="2"/>
  <c r="BX51" i="2"/>
  <c r="BZ51" i="2"/>
  <c r="CA51" i="2"/>
  <c r="CB51" i="2"/>
  <c r="CC51" i="2"/>
  <c r="CD51" i="2"/>
  <c r="CE51" i="2"/>
  <c r="R51" i="2"/>
  <c r="EE51" i="2"/>
  <c r="EB51" i="2"/>
  <c r="EC51" i="2"/>
  <c r="ED51" i="2"/>
  <c r="EF51" i="2"/>
  <c r="EG51" i="2"/>
  <c r="EH51" i="2"/>
  <c r="EI51" i="2"/>
  <c r="EJ51" i="2"/>
  <c r="EK51" i="2"/>
  <c r="EL51" i="2"/>
  <c r="FR51" i="2"/>
  <c r="FU51" i="2"/>
  <c r="BD51" i="2"/>
  <c r="HL51" i="2"/>
  <c r="HK51" i="2"/>
  <c r="BQ51" i="2"/>
  <c r="BR51" i="2"/>
  <c r="BS51" i="2" s="1"/>
  <c r="GD51" i="2"/>
  <c r="DI52" i="2"/>
  <c r="BY52" i="2"/>
  <c r="BU52" i="2"/>
  <c r="BV52" i="2"/>
  <c r="BW52" i="2"/>
  <c r="BX52" i="2"/>
  <c r="BZ52" i="2"/>
  <c r="CA52" i="2"/>
  <c r="CB52" i="2"/>
  <c r="CC52" i="2"/>
  <c r="CD52" i="2"/>
  <c r="CE52" i="2"/>
  <c r="R52" i="2"/>
  <c r="EE52" i="2"/>
  <c r="EB52" i="2"/>
  <c r="EC52" i="2"/>
  <c r="ED52" i="2"/>
  <c r="EF52" i="2"/>
  <c r="EG52" i="2"/>
  <c r="EH52" i="2"/>
  <c r="EI52" i="2"/>
  <c r="EJ52" i="2"/>
  <c r="EK52" i="2"/>
  <c r="EL52" i="2"/>
  <c r="FR52" i="2"/>
  <c r="FU52" i="2" s="1"/>
  <c r="BD52" i="2"/>
  <c r="HL52" i="2"/>
  <c r="BL52" i="2" s="1"/>
  <c r="BM52" i="2" s="1"/>
  <c r="HK52" i="2"/>
  <c r="BQ52" i="2"/>
  <c r="BR52" i="2"/>
  <c r="BS52" i="2" s="1"/>
  <c r="GD52" i="2"/>
  <c r="DI53" i="2"/>
  <c r="BY53" i="2"/>
  <c r="BU53" i="2"/>
  <c r="BV53" i="2"/>
  <c r="BW53" i="2"/>
  <c r="BX53" i="2"/>
  <c r="BZ53" i="2"/>
  <c r="CA53" i="2"/>
  <c r="CB53" i="2"/>
  <c r="CC53" i="2"/>
  <c r="CD53" i="2"/>
  <c r="CE53" i="2"/>
  <c r="R53" i="2"/>
  <c r="EE53" i="2"/>
  <c r="EM53" i="2" s="1"/>
  <c r="EB53" i="2"/>
  <c r="EC53" i="2"/>
  <c r="ED53" i="2"/>
  <c r="EF53" i="2"/>
  <c r="EG53" i="2"/>
  <c r="EH53" i="2"/>
  <c r="EI53" i="2"/>
  <c r="EJ53" i="2"/>
  <c r="EK53" i="2"/>
  <c r="EL53" i="2"/>
  <c r="FR53" i="2"/>
  <c r="FU53" i="2"/>
  <c r="BD53" i="2"/>
  <c r="HL53" i="2"/>
  <c r="HK53" i="2"/>
  <c r="BL53" i="2"/>
  <c r="BM53" i="2"/>
  <c r="BQ53" i="2"/>
  <c r="BR53" i="2"/>
  <c r="BS53" i="2"/>
  <c r="GD53" i="2"/>
  <c r="DI54" i="2"/>
  <c r="BY54" i="2"/>
  <c r="BU54" i="2"/>
  <c r="BV54" i="2"/>
  <c r="BW54" i="2"/>
  <c r="BX54" i="2"/>
  <c r="BZ54" i="2"/>
  <c r="CA54" i="2"/>
  <c r="CB54" i="2"/>
  <c r="CN54" i="2" s="1"/>
  <c r="CC54" i="2"/>
  <c r="CD54" i="2"/>
  <c r="CE54" i="2"/>
  <c r="CF54" i="2"/>
  <c r="CL54" i="2"/>
  <c r="R54" i="2"/>
  <c r="EE54" i="2"/>
  <c r="EB54" i="2"/>
  <c r="EC54" i="2"/>
  <c r="ED54" i="2"/>
  <c r="EF54" i="2"/>
  <c r="EG54" i="2"/>
  <c r="EH54" i="2"/>
  <c r="EI54" i="2"/>
  <c r="EJ54" i="2"/>
  <c r="EK54" i="2"/>
  <c r="EL54" i="2"/>
  <c r="EM54" i="2"/>
  <c r="FR54" i="2"/>
  <c r="FU54" i="2"/>
  <c r="BD54" i="2"/>
  <c r="HL54" i="2"/>
  <c r="HK54" i="2"/>
  <c r="BL54" i="2" s="1"/>
  <c r="BM54" i="2" s="1"/>
  <c r="EP54" i="2"/>
  <c r="EW54" i="2"/>
  <c r="ES54" i="2"/>
  <c r="EN54" i="2"/>
  <c r="BQ54" i="2"/>
  <c r="BR54" i="2"/>
  <c r="BS54" i="2"/>
  <c r="CP54" i="2"/>
  <c r="CQ54" i="2"/>
  <c r="GD54" i="2"/>
  <c r="DI55" i="2"/>
  <c r="BY55" i="2"/>
  <c r="BU55" i="2"/>
  <c r="BV55" i="2"/>
  <c r="BW55" i="2"/>
  <c r="BX55" i="2"/>
  <c r="BZ55" i="2"/>
  <c r="CA55" i="2"/>
  <c r="CB55" i="2"/>
  <c r="CC55" i="2"/>
  <c r="CD55" i="2"/>
  <c r="CE55" i="2"/>
  <c r="R55" i="2"/>
  <c r="EE55" i="2"/>
  <c r="EB55" i="2"/>
  <c r="EM55" i="2" s="1"/>
  <c r="EC55" i="2"/>
  <c r="ED55" i="2"/>
  <c r="EF55" i="2"/>
  <c r="EG55" i="2"/>
  <c r="EH55" i="2"/>
  <c r="EI55" i="2"/>
  <c r="EJ55" i="2"/>
  <c r="EK55" i="2"/>
  <c r="EW55" i="2" s="1"/>
  <c r="EL55" i="2"/>
  <c r="FR55" i="2"/>
  <c r="FU55" i="2"/>
  <c r="BD55" i="2"/>
  <c r="HL55" i="2"/>
  <c r="HK55" i="2"/>
  <c r="EP55" i="2"/>
  <c r="BQ55" i="2"/>
  <c r="BR55" i="2"/>
  <c r="BS55" i="2" s="1"/>
  <c r="GD55" i="2"/>
  <c r="DI56" i="2"/>
  <c r="BY56" i="2"/>
  <c r="BU56" i="2"/>
  <c r="BV56" i="2"/>
  <c r="BW56" i="2"/>
  <c r="BX56" i="2"/>
  <c r="BZ56" i="2"/>
  <c r="CA56" i="2"/>
  <c r="CB56" i="2"/>
  <c r="CC56" i="2"/>
  <c r="CD56" i="2"/>
  <c r="CE56" i="2"/>
  <c r="R56" i="2"/>
  <c r="EE56" i="2"/>
  <c r="EB56" i="2"/>
  <c r="EC56" i="2"/>
  <c r="ED56" i="2"/>
  <c r="EF56" i="2"/>
  <c r="EG56" i="2"/>
  <c r="EH56" i="2"/>
  <c r="EI56" i="2"/>
  <c r="EJ56" i="2"/>
  <c r="EK56" i="2"/>
  <c r="EL56" i="2"/>
  <c r="FR56" i="2"/>
  <c r="FU56" i="2" s="1"/>
  <c r="BD56" i="2"/>
  <c r="HL56" i="2"/>
  <c r="BL56" i="2" s="1"/>
  <c r="BM56" i="2" s="1"/>
  <c r="HK56" i="2"/>
  <c r="BQ56" i="2"/>
  <c r="BR56" i="2"/>
  <c r="BS56" i="2" s="1"/>
  <c r="GD56" i="2"/>
  <c r="DI57" i="2"/>
  <c r="BY57" i="2"/>
  <c r="BU57" i="2"/>
  <c r="BV57" i="2"/>
  <c r="BW57" i="2"/>
  <c r="BX57" i="2"/>
  <c r="BZ57" i="2"/>
  <c r="CA57" i="2"/>
  <c r="CB57" i="2"/>
  <c r="CC57" i="2"/>
  <c r="CD57" i="2"/>
  <c r="CE57" i="2"/>
  <c r="R57" i="2"/>
  <c r="EE57" i="2"/>
  <c r="EB57" i="2"/>
  <c r="EC57" i="2"/>
  <c r="ED57" i="2"/>
  <c r="EF57" i="2"/>
  <c r="EG57" i="2"/>
  <c r="EH57" i="2"/>
  <c r="EI57" i="2"/>
  <c r="EJ57" i="2"/>
  <c r="EK57" i="2"/>
  <c r="EL57" i="2"/>
  <c r="FR57" i="2"/>
  <c r="FU57" i="2" s="1"/>
  <c r="BD57" i="2"/>
  <c r="HL57" i="2"/>
  <c r="HK57" i="2"/>
  <c r="BL57" i="2"/>
  <c r="BM57" i="2"/>
  <c r="BQ57" i="2"/>
  <c r="BR57" i="2"/>
  <c r="BS57" i="2"/>
  <c r="GD57" i="2"/>
  <c r="DI58" i="2"/>
  <c r="BY58" i="2"/>
  <c r="BU58" i="2"/>
  <c r="BV58" i="2"/>
  <c r="BW58" i="2"/>
  <c r="BX58" i="2"/>
  <c r="BZ58" i="2"/>
  <c r="CA58" i="2"/>
  <c r="CB58" i="2"/>
  <c r="CC58" i="2"/>
  <c r="CD58" i="2"/>
  <c r="CE58" i="2"/>
  <c r="CF58" i="2"/>
  <c r="R58" i="2"/>
  <c r="EE58" i="2"/>
  <c r="EB58" i="2"/>
  <c r="EC58" i="2"/>
  <c r="ED58" i="2"/>
  <c r="EF58" i="2"/>
  <c r="EG58" i="2"/>
  <c r="EH58" i="2"/>
  <c r="EI58" i="2"/>
  <c r="EJ58" i="2"/>
  <c r="EK58" i="2"/>
  <c r="EL58" i="2"/>
  <c r="EM58" i="2"/>
  <c r="FR58" i="2"/>
  <c r="FU58" i="2"/>
  <c r="BD58" i="2"/>
  <c r="HL58" i="2"/>
  <c r="HK58" i="2"/>
  <c r="BL58" i="2"/>
  <c r="BM58" i="2" s="1"/>
  <c r="EW58" i="2"/>
  <c r="BQ58" i="2"/>
  <c r="BR58" i="2"/>
  <c r="BS58" i="2"/>
  <c r="GD58" i="2"/>
  <c r="DI59" i="2"/>
  <c r="BY59" i="2"/>
  <c r="BU59" i="2"/>
  <c r="BV59" i="2"/>
  <c r="BW59" i="2"/>
  <c r="BX59" i="2"/>
  <c r="BZ59" i="2"/>
  <c r="CA59" i="2"/>
  <c r="CB59" i="2"/>
  <c r="CC59" i="2"/>
  <c r="CD59" i="2"/>
  <c r="CE59" i="2"/>
  <c r="R59" i="2"/>
  <c r="EE59" i="2"/>
  <c r="EB59" i="2"/>
  <c r="EM59" i="2" s="1"/>
  <c r="EC59" i="2"/>
  <c r="ED59" i="2"/>
  <c r="EF59" i="2"/>
  <c r="EG59" i="2"/>
  <c r="EH59" i="2"/>
  <c r="EI59" i="2"/>
  <c r="EJ59" i="2"/>
  <c r="EK59" i="2"/>
  <c r="EW59" i="2" s="1"/>
  <c r="EL59" i="2"/>
  <c r="FR59" i="2"/>
  <c r="FU59" i="2"/>
  <c r="BD59" i="2"/>
  <c r="HL59" i="2"/>
  <c r="HK59" i="2"/>
  <c r="EP59" i="2"/>
  <c r="BQ59" i="2"/>
  <c r="BR59" i="2"/>
  <c r="BS59" i="2" s="1"/>
  <c r="GD59" i="2"/>
  <c r="DI60" i="2"/>
  <c r="BY60" i="2"/>
  <c r="BU60" i="2"/>
  <c r="BV60" i="2"/>
  <c r="BW60" i="2"/>
  <c r="BX60" i="2"/>
  <c r="BZ60" i="2"/>
  <c r="CA60" i="2"/>
  <c r="CB60" i="2"/>
  <c r="CC60" i="2"/>
  <c r="CD60" i="2"/>
  <c r="CE60" i="2"/>
  <c r="R60" i="2"/>
  <c r="EE60" i="2"/>
  <c r="EB60" i="2"/>
  <c r="EC60" i="2"/>
  <c r="ED60" i="2"/>
  <c r="EF60" i="2"/>
  <c r="EG60" i="2"/>
  <c r="EH60" i="2"/>
  <c r="EI60" i="2"/>
  <c r="EJ60" i="2"/>
  <c r="EK60" i="2"/>
  <c r="EL60" i="2"/>
  <c r="FR60" i="2"/>
  <c r="FU60" i="2" s="1"/>
  <c r="BD60" i="2"/>
  <c r="HL60" i="2"/>
  <c r="BL60" i="2" s="1"/>
  <c r="BM60" i="2" s="1"/>
  <c r="HK60" i="2"/>
  <c r="BQ60" i="2"/>
  <c r="BR60" i="2"/>
  <c r="BS60" i="2" s="1"/>
  <c r="GD60" i="2"/>
  <c r="DI61" i="2"/>
  <c r="BY61" i="2"/>
  <c r="BU61" i="2"/>
  <c r="BV61" i="2"/>
  <c r="BW61" i="2"/>
  <c r="BX61" i="2"/>
  <c r="BZ61" i="2"/>
  <c r="CA61" i="2"/>
  <c r="CB61" i="2"/>
  <c r="CC61" i="2"/>
  <c r="CD61" i="2"/>
  <c r="CE61" i="2"/>
  <c r="R61" i="2"/>
  <c r="EE61" i="2"/>
  <c r="EM61" i="2" s="1"/>
  <c r="EB61" i="2"/>
  <c r="EC61" i="2"/>
  <c r="ED61" i="2"/>
  <c r="EF61" i="2"/>
  <c r="EG61" i="2"/>
  <c r="EH61" i="2"/>
  <c r="EI61" i="2"/>
  <c r="EJ61" i="2"/>
  <c r="EK61" i="2"/>
  <c r="EL61" i="2"/>
  <c r="FR61" i="2"/>
  <c r="FU61" i="2"/>
  <c r="BD61" i="2"/>
  <c r="HL61" i="2"/>
  <c r="HK61" i="2"/>
  <c r="BL61" i="2"/>
  <c r="BM61" i="2"/>
  <c r="BQ61" i="2"/>
  <c r="BR61" i="2"/>
  <c r="BS61" i="2"/>
  <c r="GD61" i="2"/>
  <c r="DI63" i="2"/>
  <c r="BY63" i="2"/>
  <c r="BU63" i="2"/>
  <c r="BV63" i="2"/>
  <c r="BW63" i="2"/>
  <c r="BX63" i="2"/>
  <c r="BZ63" i="2"/>
  <c r="CA63" i="2"/>
  <c r="CB63" i="2"/>
  <c r="CC63" i="2"/>
  <c r="CD63" i="2"/>
  <c r="CE63" i="2"/>
  <c r="R63" i="2"/>
  <c r="EE63" i="2"/>
  <c r="EB63" i="2"/>
  <c r="EC63" i="2"/>
  <c r="ED63" i="2"/>
  <c r="EF63" i="2"/>
  <c r="EG63" i="2"/>
  <c r="EH63" i="2"/>
  <c r="EI63" i="2"/>
  <c r="EJ63" i="2"/>
  <c r="EK63" i="2"/>
  <c r="EL63" i="2"/>
  <c r="FR63" i="2"/>
  <c r="FU63" i="2" s="1"/>
  <c r="BD63" i="2"/>
  <c r="HL63" i="2"/>
  <c r="BL63" i="2" s="1"/>
  <c r="BM63" i="2" s="1"/>
  <c r="HK63" i="2"/>
  <c r="BQ63" i="2"/>
  <c r="BR63" i="2"/>
  <c r="BS63" i="2"/>
  <c r="GD63" i="2"/>
  <c r="DI64" i="2"/>
  <c r="BY64" i="2"/>
  <c r="BU64" i="2"/>
  <c r="BV64" i="2"/>
  <c r="BW64" i="2"/>
  <c r="BX64" i="2"/>
  <c r="BZ64" i="2"/>
  <c r="CA64" i="2"/>
  <c r="CB64" i="2"/>
  <c r="CC64" i="2"/>
  <c r="CD64" i="2"/>
  <c r="CE64" i="2"/>
  <c r="R64" i="2"/>
  <c r="EE64" i="2"/>
  <c r="EB64" i="2"/>
  <c r="EC64" i="2"/>
  <c r="ED64" i="2"/>
  <c r="EF64" i="2"/>
  <c r="EG64" i="2"/>
  <c r="EH64" i="2"/>
  <c r="EI64" i="2"/>
  <c r="EJ64" i="2"/>
  <c r="EK64" i="2"/>
  <c r="EL64" i="2"/>
  <c r="FR64" i="2"/>
  <c r="FU64" i="2"/>
  <c r="BD64" i="2"/>
  <c r="HL64" i="2"/>
  <c r="HK64" i="2"/>
  <c r="BL64" i="2"/>
  <c r="BM64" i="2"/>
  <c r="BQ64" i="2"/>
  <c r="BR64" i="2"/>
  <c r="BS64" i="2"/>
  <c r="GD64" i="2"/>
  <c r="DI65" i="2"/>
  <c r="BY65" i="2"/>
  <c r="BU65" i="2"/>
  <c r="BV65" i="2"/>
  <c r="BW65" i="2"/>
  <c r="BX65" i="2"/>
  <c r="BZ65" i="2"/>
  <c r="CA65" i="2"/>
  <c r="CB65" i="2"/>
  <c r="CC65" i="2"/>
  <c r="CD65" i="2"/>
  <c r="CE65" i="2"/>
  <c r="CF65" i="2"/>
  <c r="R65" i="2"/>
  <c r="EE65" i="2"/>
  <c r="EB65" i="2"/>
  <c r="EC65" i="2"/>
  <c r="EO65" i="2" s="1"/>
  <c r="ED65" i="2"/>
  <c r="EF65" i="2"/>
  <c r="EG65" i="2"/>
  <c r="EH65" i="2"/>
  <c r="EI65" i="2"/>
  <c r="EJ65" i="2"/>
  <c r="EK65" i="2"/>
  <c r="EL65" i="2"/>
  <c r="EX65" i="2" s="1"/>
  <c r="EM65" i="2"/>
  <c r="FR65" i="2"/>
  <c r="FU65" i="2"/>
  <c r="BD65" i="2"/>
  <c r="HL65" i="2"/>
  <c r="HK65" i="2"/>
  <c r="BL65" i="2"/>
  <c r="BM65" i="2" s="1"/>
  <c r="EW65" i="2"/>
  <c r="BQ65" i="2"/>
  <c r="BR65" i="2"/>
  <c r="BS65" i="2"/>
  <c r="GD65" i="2"/>
  <c r="DI66" i="2"/>
  <c r="BY66" i="2"/>
  <c r="BU66" i="2"/>
  <c r="CF66" i="2" s="1"/>
  <c r="BV66" i="2"/>
  <c r="BW66" i="2"/>
  <c r="BX66" i="2"/>
  <c r="BZ66" i="2"/>
  <c r="CA66" i="2"/>
  <c r="CB66" i="2"/>
  <c r="CC66" i="2"/>
  <c r="CD66" i="2"/>
  <c r="CE66" i="2"/>
  <c r="R66" i="2"/>
  <c r="EE66" i="2"/>
  <c r="EB66" i="2"/>
  <c r="EM66" i="2" s="1"/>
  <c r="EC66" i="2"/>
  <c r="ED66" i="2"/>
  <c r="EF66" i="2"/>
  <c r="EG66" i="2"/>
  <c r="EH66" i="2"/>
  <c r="EI66" i="2"/>
  <c r="EJ66" i="2"/>
  <c r="EK66" i="2"/>
  <c r="EW66" i="2" s="1"/>
  <c r="EL66" i="2"/>
  <c r="FR66" i="2"/>
  <c r="FU66" i="2"/>
  <c r="BD66" i="2"/>
  <c r="HL66" i="2"/>
  <c r="HK66" i="2"/>
  <c r="EO66" i="2"/>
  <c r="ES66" i="2"/>
  <c r="EV66" i="2"/>
  <c r="BQ66" i="2"/>
  <c r="BR66" i="2"/>
  <c r="BS66" i="2" s="1"/>
  <c r="CP66" i="2"/>
  <c r="GD66" i="2"/>
  <c r="DI67" i="2"/>
  <c r="BY67" i="2"/>
  <c r="BU67" i="2"/>
  <c r="BV67" i="2"/>
  <c r="BW67" i="2"/>
  <c r="BX67" i="2"/>
  <c r="BZ67" i="2"/>
  <c r="CA67" i="2"/>
  <c r="CB67" i="2"/>
  <c r="CC67" i="2"/>
  <c r="CD67" i="2"/>
  <c r="CE67" i="2"/>
  <c r="R67" i="2"/>
  <c r="EE67" i="2"/>
  <c r="EB67" i="2"/>
  <c r="EC67" i="2"/>
  <c r="ED67" i="2"/>
  <c r="EF67" i="2"/>
  <c r="EG67" i="2"/>
  <c r="EH67" i="2"/>
  <c r="EI67" i="2"/>
  <c r="EJ67" i="2"/>
  <c r="EK67" i="2"/>
  <c r="EL67" i="2"/>
  <c r="FR67" i="2"/>
  <c r="FU67" i="2" s="1"/>
  <c r="BD67" i="2"/>
  <c r="HL67" i="2"/>
  <c r="BL67" i="2" s="1"/>
  <c r="BM67" i="2" s="1"/>
  <c r="HK67" i="2"/>
  <c r="BQ67" i="2"/>
  <c r="BR67" i="2"/>
  <c r="BS67" i="2" s="1"/>
  <c r="GD67" i="2"/>
  <c r="DI68" i="2"/>
  <c r="BY68" i="2"/>
  <c r="BU68" i="2"/>
  <c r="BV68" i="2"/>
  <c r="BW68" i="2"/>
  <c r="BX68" i="2"/>
  <c r="BZ68" i="2"/>
  <c r="CA68" i="2"/>
  <c r="CB68" i="2"/>
  <c r="CC68" i="2"/>
  <c r="CD68" i="2"/>
  <c r="CE68" i="2"/>
  <c r="R68" i="2"/>
  <c r="EE68" i="2"/>
  <c r="EM68" i="2" s="1"/>
  <c r="EB68" i="2"/>
  <c r="EC68" i="2"/>
  <c r="ED68" i="2"/>
  <c r="EF68" i="2"/>
  <c r="EG68" i="2"/>
  <c r="EH68" i="2"/>
  <c r="EI68" i="2"/>
  <c r="EJ68" i="2"/>
  <c r="EK68" i="2"/>
  <c r="EL68" i="2"/>
  <c r="FR68" i="2"/>
  <c r="FU68" i="2" s="1"/>
  <c r="BD68" i="2"/>
  <c r="HL68" i="2"/>
  <c r="HK68" i="2"/>
  <c r="BL68" i="2"/>
  <c r="BM68" i="2" s="1"/>
  <c r="BQ68" i="2"/>
  <c r="BR68" i="2"/>
  <c r="BS68" i="2"/>
  <c r="GD68" i="2"/>
  <c r="DI69" i="2"/>
  <c r="BY69" i="2"/>
  <c r="BU69" i="2"/>
  <c r="BV69" i="2"/>
  <c r="BW69" i="2"/>
  <c r="BX69" i="2"/>
  <c r="BZ69" i="2"/>
  <c r="CA69" i="2"/>
  <c r="CB69" i="2"/>
  <c r="CC69" i="2"/>
  <c r="CD69" i="2"/>
  <c r="CE69" i="2"/>
  <c r="R69" i="2"/>
  <c r="EE69" i="2"/>
  <c r="EB69" i="2"/>
  <c r="EM69" i="2" s="1"/>
  <c r="EC69" i="2"/>
  <c r="ED69" i="2"/>
  <c r="EF69" i="2"/>
  <c r="EG69" i="2"/>
  <c r="ES69" i="2" s="1"/>
  <c r="EH69" i="2"/>
  <c r="EI69" i="2"/>
  <c r="EJ69" i="2"/>
  <c r="EK69" i="2"/>
  <c r="EW69" i="2" s="1"/>
  <c r="EL69" i="2"/>
  <c r="FR69" i="2"/>
  <c r="FU69" i="2" s="1"/>
  <c r="BD69" i="2"/>
  <c r="HL69" i="2"/>
  <c r="BL69" i="2" s="1"/>
  <c r="HK69" i="2"/>
  <c r="BM69" i="2"/>
  <c r="BQ69" i="2"/>
  <c r="BR69" i="2"/>
  <c r="BS69" i="2"/>
  <c r="EX69" i="2"/>
  <c r="GD69" i="2"/>
  <c r="DI70" i="2"/>
  <c r="BY70" i="2"/>
  <c r="BU70" i="2"/>
  <c r="BV70" i="2"/>
  <c r="BW70" i="2"/>
  <c r="BX70" i="2"/>
  <c r="CJ70" i="2" s="1"/>
  <c r="BZ70" i="2"/>
  <c r="CA70" i="2"/>
  <c r="CB70" i="2"/>
  <c r="CC70" i="2"/>
  <c r="CO70" i="2" s="1"/>
  <c r="CD70" i="2"/>
  <c r="CE70" i="2"/>
  <c r="CF70" i="2"/>
  <c r="R70" i="2"/>
  <c r="EE70" i="2"/>
  <c r="EB70" i="2"/>
  <c r="EC70" i="2"/>
  <c r="ED70" i="2"/>
  <c r="EF70" i="2"/>
  <c r="EG70" i="2"/>
  <c r="EH70" i="2"/>
  <c r="EI70" i="2"/>
  <c r="EJ70" i="2"/>
  <c r="EK70" i="2"/>
  <c r="EL70" i="2"/>
  <c r="EM70" i="2"/>
  <c r="FR70" i="2"/>
  <c r="FU70" i="2" s="1"/>
  <c r="BD70" i="2"/>
  <c r="HL70" i="2"/>
  <c r="HK70" i="2"/>
  <c r="BL70" i="2"/>
  <c r="BM70" i="2" s="1"/>
  <c r="ET70" i="2"/>
  <c r="BQ70" i="2"/>
  <c r="BR70" i="2"/>
  <c r="BS70" i="2"/>
  <c r="CN70" i="2"/>
  <c r="CQ70" i="2"/>
  <c r="GD70" i="2"/>
  <c r="DI71" i="2"/>
  <c r="BY71" i="2"/>
  <c r="BU71" i="2"/>
  <c r="BV71" i="2"/>
  <c r="BW71" i="2"/>
  <c r="BX71" i="2"/>
  <c r="BZ71" i="2"/>
  <c r="CA71" i="2"/>
  <c r="CB71" i="2"/>
  <c r="CC71" i="2"/>
  <c r="CD71" i="2"/>
  <c r="CE71" i="2"/>
  <c r="R71" i="2"/>
  <c r="EE71" i="2"/>
  <c r="EB71" i="2"/>
  <c r="EC71" i="2"/>
  <c r="ED71" i="2"/>
  <c r="EF71" i="2"/>
  <c r="EG71" i="2"/>
  <c r="EH71" i="2"/>
  <c r="EI71" i="2"/>
  <c r="EJ71" i="2"/>
  <c r="EK71" i="2"/>
  <c r="EL71" i="2"/>
  <c r="EM71" i="2"/>
  <c r="FR71" i="2"/>
  <c r="FU71" i="2"/>
  <c r="BD71" i="2"/>
  <c r="HL71" i="2"/>
  <c r="HK71" i="2"/>
  <c r="BL71" i="2"/>
  <c r="BM71" i="2" s="1"/>
  <c r="EP71" i="2"/>
  <c r="BQ71" i="2"/>
  <c r="BR71" i="2"/>
  <c r="BS71" i="2" s="1"/>
  <c r="GD71" i="2"/>
  <c r="DI72" i="2"/>
  <c r="BY72" i="2"/>
  <c r="BU72" i="2"/>
  <c r="BV72" i="2"/>
  <c r="BW72" i="2"/>
  <c r="BX72" i="2"/>
  <c r="BZ72" i="2"/>
  <c r="CA72" i="2"/>
  <c r="CB72" i="2"/>
  <c r="CC72" i="2"/>
  <c r="CD72" i="2"/>
  <c r="CE72" i="2"/>
  <c r="R72" i="2"/>
  <c r="EE72" i="2"/>
  <c r="EB72" i="2"/>
  <c r="EC72" i="2"/>
  <c r="ED72" i="2"/>
  <c r="EF72" i="2"/>
  <c r="EG72" i="2"/>
  <c r="EH72" i="2"/>
  <c r="EI72" i="2"/>
  <c r="EJ72" i="2"/>
  <c r="EK72" i="2"/>
  <c r="EL72" i="2"/>
  <c r="FR72" i="2"/>
  <c r="FU72" i="2" s="1"/>
  <c r="BD72" i="2"/>
  <c r="HL72" i="2"/>
  <c r="BL72" i="2" s="1"/>
  <c r="BM72" i="2" s="1"/>
  <c r="HK72" i="2"/>
  <c r="BQ72" i="2"/>
  <c r="BR72" i="2"/>
  <c r="BS72" i="2" s="1"/>
  <c r="GD72" i="2"/>
  <c r="DI73" i="2"/>
  <c r="BY73" i="2"/>
  <c r="BU73" i="2"/>
  <c r="BV73" i="2"/>
  <c r="BW73" i="2"/>
  <c r="BX73" i="2"/>
  <c r="BZ73" i="2"/>
  <c r="CA73" i="2"/>
  <c r="CB73" i="2"/>
  <c r="CC73" i="2"/>
  <c r="CD73" i="2"/>
  <c r="CE73" i="2"/>
  <c r="R73" i="2"/>
  <c r="EE73" i="2"/>
  <c r="EB73" i="2"/>
  <c r="EC73" i="2"/>
  <c r="ED73" i="2"/>
  <c r="EF73" i="2"/>
  <c r="EG73" i="2"/>
  <c r="EH73" i="2"/>
  <c r="EI73" i="2"/>
  <c r="EJ73" i="2"/>
  <c r="EK73" i="2"/>
  <c r="EL73" i="2"/>
  <c r="FR73" i="2"/>
  <c r="FU73" i="2" s="1"/>
  <c r="BD73" i="2"/>
  <c r="HL73" i="2"/>
  <c r="BL73" i="2" s="1"/>
  <c r="HK73" i="2"/>
  <c r="BM73" i="2"/>
  <c r="BQ73" i="2"/>
  <c r="BR73" i="2"/>
  <c r="BS73" i="2" s="1"/>
  <c r="GD73" i="2"/>
  <c r="DI74" i="2"/>
  <c r="BY74" i="2"/>
  <c r="BU74" i="2"/>
  <c r="BV74" i="2"/>
  <c r="BW74" i="2"/>
  <c r="CI74" i="2" s="1"/>
  <c r="BX74" i="2"/>
  <c r="BZ74" i="2"/>
  <c r="CA74" i="2"/>
  <c r="CB74" i="2"/>
  <c r="CC74" i="2"/>
  <c r="CD74" i="2"/>
  <c r="CE74" i="2"/>
  <c r="CF74" i="2"/>
  <c r="R74" i="2"/>
  <c r="EE74" i="2"/>
  <c r="EM74" i="2" s="1"/>
  <c r="EB74" i="2"/>
  <c r="EC74" i="2"/>
  <c r="ED74" i="2"/>
  <c r="EF74" i="2"/>
  <c r="EG74" i="2"/>
  <c r="EH74" i="2"/>
  <c r="EI74" i="2"/>
  <c r="EJ74" i="2"/>
  <c r="EK74" i="2"/>
  <c r="EL74" i="2"/>
  <c r="FR74" i="2"/>
  <c r="FU74" i="2"/>
  <c r="BD74" i="2"/>
  <c r="HL74" i="2"/>
  <c r="HK74" i="2"/>
  <c r="BL74" i="2"/>
  <c r="BM74" i="2"/>
  <c r="BQ74" i="2"/>
  <c r="BR74" i="2"/>
  <c r="BS74" i="2"/>
  <c r="CN74" i="2"/>
  <c r="GD74" i="2"/>
  <c r="DI75" i="2"/>
  <c r="BY75" i="2"/>
  <c r="BU75" i="2"/>
  <c r="BV75" i="2"/>
  <c r="BW75" i="2"/>
  <c r="BX75" i="2"/>
  <c r="BZ75" i="2"/>
  <c r="CA75" i="2"/>
  <c r="CB75" i="2"/>
  <c r="CC75" i="2"/>
  <c r="CD75" i="2"/>
  <c r="CE75" i="2"/>
  <c r="CF75" i="2"/>
  <c r="R75" i="2"/>
  <c r="EE75" i="2"/>
  <c r="EB75" i="2"/>
  <c r="EC75" i="2"/>
  <c r="ED75" i="2"/>
  <c r="EF75" i="2"/>
  <c r="EG75" i="2"/>
  <c r="EH75" i="2"/>
  <c r="EI75" i="2"/>
  <c r="EJ75" i="2"/>
  <c r="EK75" i="2"/>
  <c r="EL75" i="2"/>
  <c r="EM75" i="2"/>
  <c r="FR75" i="2"/>
  <c r="FU75" i="2"/>
  <c r="BD75" i="2"/>
  <c r="HL75" i="2"/>
  <c r="HK75" i="2"/>
  <c r="BL75" i="2" s="1"/>
  <c r="BM75" i="2" s="1"/>
  <c r="EP75" i="2"/>
  <c r="EW75" i="2"/>
  <c r="EN75" i="2"/>
  <c r="BQ75" i="2"/>
  <c r="BR75" i="2"/>
  <c r="BS75" i="2" s="1"/>
  <c r="GD75" i="2"/>
  <c r="DI76" i="2"/>
  <c r="BY76" i="2"/>
  <c r="BU76" i="2"/>
  <c r="BV76" i="2"/>
  <c r="BW76" i="2"/>
  <c r="BX76" i="2"/>
  <c r="BZ76" i="2"/>
  <c r="CA76" i="2"/>
  <c r="CB76" i="2"/>
  <c r="CC76" i="2"/>
  <c r="CD76" i="2"/>
  <c r="CE76" i="2"/>
  <c r="R76" i="2"/>
  <c r="EE76" i="2"/>
  <c r="EB76" i="2"/>
  <c r="EC76" i="2"/>
  <c r="ED76" i="2"/>
  <c r="EF76" i="2"/>
  <c r="EG76" i="2"/>
  <c r="EH76" i="2"/>
  <c r="EI76" i="2"/>
  <c r="EJ76" i="2"/>
  <c r="EK76" i="2"/>
  <c r="EL76" i="2"/>
  <c r="FR76" i="2"/>
  <c r="FU76" i="2"/>
  <c r="BD76" i="2"/>
  <c r="HL76" i="2"/>
  <c r="HK76" i="2"/>
  <c r="BQ76" i="2"/>
  <c r="BR76" i="2"/>
  <c r="BS76" i="2" s="1"/>
  <c r="GD76" i="2"/>
  <c r="DI77" i="2"/>
  <c r="BY77" i="2"/>
  <c r="BU77" i="2"/>
  <c r="BV77" i="2"/>
  <c r="BW77" i="2"/>
  <c r="BX77" i="2"/>
  <c r="BZ77" i="2"/>
  <c r="CA77" i="2"/>
  <c r="CB77" i="2"/>
  <c r="CC77" i="2"/>
  <c r="CD77" i="2"/>
  <c r="CE77" i="2"/>
  <c r="R77" i="2"/>
  <c r="EE77" i="2"/>
  <c r="EB77" i="2"/>
  <c r="EC77" i="2"/>
  <c r="ED77" i="2"/>
  <c r="EF77" i="2"/>
  <c r="EG77" i="2"/>
  <c r="EH77" i="2"/>
  <c r="EI77" i="2"/>
  <c r="EJ77" i="2"/>
  <c r="EK77" i="2"/>
  <c r="EL77" i="2"/>
  <c r="FR77" i="2"/>
  <c r="FU77" i="2" s="1"/>
  <c r="BD77" i="2"/>
  <c r="HL77" i="2"/>
  <c r="BL77" i="2" s="1"/>
  <c r="HK77" i="2"/>
  <c r="BM77" i="2"/>
  <c r="BQ77" i="2"/>
  <c r="BR77" i="2"/>
  <c r="BS77" i="2" s="1"/>
  <c r="GD77" i="2"/>
  <c r="DI78" i="2"/>
  <c r="BY78" i="2"/>
  <c r="BU78" i="2"/>
  <c r="BV78" i="2"/>
  <c r="BW78" i="2"/>
  <c r="BX78" i="2"/>
  <c r="BZ78" i="2"/>
  <c r="CA78" i="2"/>
  <c r="CB78" i="2"/>
  <c r="CC78" i="2"/>
  <c r="CD78" i="2"/>
  <c r="CE78" i="2"/>
  <c r="R78" i="2"/>
  <c r="EE78" i="2"/>
  <c r="EM78" i="2" s="1"/>
  <c r="EB78" i="2"/>
  <c r="EC78" i="2"/>
  <c r="ED78" i="2"/>
  <c r="EF78" i="2"/>
  <c r="EG78" i="2"/>
  <c r="EH78" i="2"/>
  <c r="EI78" i="2"/>
  <c r="EJ78" i="2"/>
  <c r="EK78" i="2"/>
  <c r="EL78" i="2"/>
  <c r="FR78" i="2"/>
  <c r="FU78" i="2" s="1"/>
  <c r="BD78" i="2"/>
  <c r="HL78" i="2"/>
  <c r="HK78" i="2"/>
  <c r="BL78" i="2"/>
  <c r="BM78" i="2" s="1"/>
  <c r="BQ78" i="2"/>
  <c r="BR78" i="2"/>
  <c r="BS78" i="2"/>
  <c r="GD78" i="2"/>
  <c r="DI79" i="2"/>
  <c r="BY79" i="2"/>
  <c r="BU79" i="2"/>
  <c r="BV79" i="2"/>
  <c r="BW79" i="2"/>
  <c r="BX79" i="2"/>
  <c r="BZ79" i="2"/>
  <c r="CA79" i="2"/>
  <c r="CB79" i="2"/>
  <c r="CC79" i="2"/>
  <c r="CD79" i="2"/>
  <c r="CE79" i="2"/>
  <c r="CF79" i="2"/>
  <c r="CL79" i="2"/>
  <c r="R79" i="2"/>
  <c r="EE79" i="2"/>
  <c r="EB79" i="2"/>
  <c r="EC79" i="2"/>
  <c r="ED79" i="2"/>
  <c r="EF79" i="2"/>
  <c r="EG79" i="2"/>
  <c r="EH79" i="2"/>
  <c r="EI79" i="2"/>
  <c r="EJ79" i="2"/>
  <c r="EK79" i="2"/>
  <c r="EL79" i="2"/>
  <c r="FR79" i="2"/>
  <c r="FU79" i="2"/>
  <c r="BD79" i="2"/>
  <c r="HL79" i="2"/>
  <c r="HK79" i="2"/>
  <c r="BL79" i="2"/>
  <c r="BM79" i="2" s="1"/>
  <c r="BQ79" i="2"/>
  <c r="BR79" i="2"/>
  <c r="BS79" i="2"/>
  <c r="CP79" i="2"/>
  <c r="CQ79" i="2"/>
  <c r="GD79" i="2"/>
  <c r="GJ9" i="1"/>
  <c r="GK9" i="1"/>
  <c r="GN9" i="1"/>
  <c r="GI9" i="1"/>
  <c r="DI9" i="1"/>
  <c r="BY9" i="1"/>
  <c r="BU9" i="1"/>
  <c r="BV9" i="1"/>
  <c r="BW9" i="1"/>
  <c r="BX9" i="1"/>
  <c r="BZ9" i="1"/>
  <c r="CA9" i="1"/>
  <c r="CB9" i="1"/>
  <c r="CC9" i="1"/>
  <c r="CD9" i="1"/>
  <c r="CE9" i="1"/>
  <c r="DL9" i="1"/>
  <c r="GF9" i="1"/>
  <c r="GD9" i="1"/>
  <c r="GG9" i="1" s="1"/>
  <c r="GR9" i="1"/>
  <c r="GM9" i="1"/>
  <c r="HL9" i="1"/>
  <c r="HK9" i="1"/>
  <c r="BL9" i="1"/>
  <c r="BM9" i="1" s="1"/>
  <c r="EC9" i="1"/>
  <c r="EB9" i="1"/>
  <c r="ED9" i="1"/>
  <c r="EE9" i="1"/>
  <c r="EF9" i="1"/>
  <c r="EG9" i="1"/>
  <c r="EH9" i="1"/>
  <c r="EI9" i="1"/>
  <c r="EJ9" i="1"/>
  <c r="EK9" i="1"/>
  <c r="EL9" i="1"/>
  <c r="BQ9" i="1"/>
  <c r="BR9" i="1"/>
  <c r="BS9" i="1" s="1"/>
  <c r="GJ10" i="1"/>
  <c r="GK10" i="1"/>
  <c r="GN10" i="1"/>
  <c r="GI10" i="1"/>
  <c r="GO10" i="1" s="1"/>
  <c r="DI10" i="1"/>
  <c r="BY10" i="1"/>
  <c r="BU10" i="1"/>
  <c r="BV10" i="1"/>
  <c r="BW10" i="1"/>
  <c r="CI10" i="1" s="1"/>
  <c r="BX10" i="1"/>
  <c r="BZ10" i="1"/>
  <c r="CA10" i="1"/>
  <c r="CB10" i="1"/>
  <c r="CC10" i="1"/>
  <c r="CD10" i="1"/>
  <c r="CE10" i="1"/>
  <c r="CF10" i="1"/>
  <c r="DL10" i="1"/>
  <c r="GF10" i="1"/>
  <c r="GD10" i="1"/>
  <c r="GG10" i="1" s="1"/>
  <c r="GQ10" i="1"/>
  <c r="GR10" i="1"/>
  <c r="GM10" i="1"/>
  <c r="HL10" i="1"/>
  <c r="HK10" i="1"/>
  <c r="EC10" i="1"/>
  <c r="EB10" i="1"/>
  <c r="ED10" i="1"/>
  <c r="EE10" i="1"/>
  <c r="EF10" i="1"/>
  <c r="EG10" i="1"/>
  <c r="EH10" i="1"/>
  <c r="EI10" i="1"/>
  <c r="EJ10" i="1"/>
  <c r="EK10" i="1"/>
  <c r="EL10" i="1"/>
  <c r="BQ10" i="1"/>
  <c r="BR10" i="1"/>
  <c r="BS10" i="1" s="1"/>
  <c r="GJ11" i="1"/>
  <c r="GK11" i="1"/>
  <c r="GO11" i="1" s="1"/>
  <c r="GI11" i="1"/>
  <c r="DI11" i="1"/>
  <c r="BY11" i="1"/>
  <c r="BU11" i="1"/>
  <c r="BV11" i="1"/>
  <c r="BW11" i="1"/>
  <c r="BX11" i="1"/>
  <c r="CJ11" i="1" s="1"/>
  <c r="BZ11" i="1"/>
  <c r="CA11" i="1"/>
  <c r="CB11" i="1"/>
  <c r="CC11" i="1"/>
  <c r="CD11" i="1"/>
  <c r="CE11" i="1"/>
  <c r="CF11" i="1"/>
  <c r="CK11" i="1" s="1"/>
  <c r="CL11" i="1"/>
  <c r="AV11" i="1"/>
  <c r="DL11" i="1"/>
  <c r="GF11" i="1"/>
  <c r="GD11" i="1"/>
  <c r="GG11" i="1"/>
  <c r="HL11" i="1"/>
  <c r="BL11" i="1" s="1"/>
  <c r="HK11" i="1"/>
  <c r="BM11" i="1"/>
  <c r="EC11" i="1"/>
  <c r="EM11" i="1" s="1"/>
  <c r="EB11" i="1"/>
  <c r="ED11" i="1"/>
  <c r="EE11" i="1"/>
  <c r="EF11" i="1"/>
  <c r="EG11" i="1"/>
  <c r="EH11" i="1"/>
  <c r="EI11" i="1"/>
  <c r="EJ11" i="1"/>
  <c r="EK11" i="1"/>
  <c r="EL11" i="1"/>
  <c r="BQ11" i="1"/>
  <c r="BR11" i="1"/>
  <c r="BS11" i="1"/>
  <c r="GJ12" i="1"/>
  <c r="GK12" i="1"/>
  <c r="GI12" i="1"/>
  <c r="GQ12" i="1" s="1"/>
  <c r="DI12" i="1"/>
  <c r="BY12" i="1"/>
  <c r="BU12" i="1"/>
  <c r="BV12" i="1"/>
  <c r="BW12" i="1"/>
  <c r="BX12" i="1"/>
  <c r="BZ12" i="1"/>
  <c r="CA12" i="1"/>
  <c r="CB12" i="1"/>
  <c r="CC12" i="1"/>
  <c r="CD12" i="1"/>
  <c r="CE12" i="1"/>
  <c r="DL12" i="1"/>
  <c r="GF12" i="1"/>
  <c r="GD12" i="1"/>
  <c r="GG12" i="1"/>
  <c r="HL12" i="1"/>
  <c r="HK12" i="1"/>
  <c r="BL12" i="1"/>
  <c r="BM12" i="1"/>
  <c r="EC12" i="1"/>
  <c r="EB12" i="1"/>
  <c r="ED12" i="1"/>
  <c r="EE12" i="1"/>
  <c r="EF12" i="1"/>
  <c r="EG12" i="1"/>
  <c r="EH12" i="1"/>
  <c r="EI12" i="1"/>
  <c r="EJ12" i="1"/>
  <c r="EK12" i="1"/>
  <c r="EL12" i="1"/>
  <c r="EM12" i="1"/>
  <c r="ET12" i="1" s="1"/>
  <c r="BQ12" i="1"/>
  <c r="BR12" i="1"/>
  <c r="BS12" i="1"/>
  <c r="GJ13" i="1"/>
  <c r="GK13" i="1"/>
  <c r="GN13" i="1"/>
  <c r="GI13" i="1"/>
  <c r="DI13" i="1"/>
  <c r="BY13" i="1"/>
  <c r="BU13" i="1"/>
  <c r="BV13" i="1"/>
  <c r="BW13" i="1"/>
  <c r="BX13" i="1"/>
  <c r="BZ13" i="1"/>
  <c r="CA13" i="1"/>
  <c r="CB13" i="1"/>
  <c r="CC13" i="1"/>
  <c r="CD13" i="1"/>
  <c r="CE13" i="1"/>
  <c r="DL13" i="1"/>
  <c r="GF13" i="1"/>
  <c r="GD13" i="1"/>
  <c r="GG13" i="1" s="1"/>
  <c r="GR13" i="1"/>
  <c r="GM13" i="1"/>
  <c r="HL13" i="1"/>
  <c r="HK13" i="1"/>
  <c r="BL13" i="1"/>
  <c r="BM13" i="1" s="1"/>
  <c r="EC13" i="1"/>
  <c r="EB13" i="1"/>
  <c r="ED13" i="1"/>
  <c r="EE13" i="1"/>
  <c r="EF13" i="1"/>
  <c r="EG13" i="1"/>
  <c r="EH13" i="1"/>
  <c r="EI13" i="1"/>
  <c r="EJ13" i="1"/>
  <c r="EK13" i="1"/>
  <c r="EL13" i="1"/>
  <c r="BQ13" i="1"/>
  <c r="BR13" i="1"/>
  <c r="BS13" i="1" s="1"/>
  <c r="GJ14" i="1"/>
  <c r="GK14" i="1"/>
  <c r="GO14" i="1" s="1"/>
  <c r="GN14" i="1"/>
  <c r="GI14" i="1"/>
  <c r="DI14" i="1"/>
  <c r="BY14" i="1"/>
  <c r="BU14" i="1"/>
  <c r="BV14" i="1"/>
  <c r="BW14" i="1"/>
  <c r="BX14" i="1"/>
  <c r="BZ14" i="1"/>
  <c r="CA14" i="1"/>
  <c r="CB14" i="1"/>
  <c r="CC14" i="1"/>
  <c r="CD14" i="1"/>
  <c r="CE14" i="1"/>
  <c r="CF14" i="1"/>
  <c r="DL14" i="1"/>
  <c r="GF14" i="1"/>
  <c r="GD14" i="1"/>
  <c r="GG14" i="1"/>
  <c r="GQ14" i="1"/>
  <c r="GR14" i="1"/>
  <c r="GT14" i="1"/>
  <c r="GM14" i="1"/>
  <c r="HL14" i="1"/>
  <c r="HK14" i="1"/>
  <c r="BL14" i="1"/>
  <c r="BM14" i="1"/>
  <c r="EC14" i="1"/>
  <c r="EB14" i="1"/>
  <c r="ED14" i="1"/>
  <c r="EE14" i="1"/>
  <c r="EF14" i="1"/>
  <c r="EG14" i="1"/>
  <c r="EH14" i="1"/>
  <c r="EI14" i="1"/>
  <c r="EJ14" i="1"/>
  <c r="EK14" i="1"/>
  <c r="EL14" i="1"/>
  <c r="EM14" i="1"/>
  <c r="ET14" i="1"/>
  <c r="BQ14" i="1"/>
  <c r="BR14" i="1"/>
  <c r="BS14" i="1"/>
  <c r="GJ15" i="1"/>
  <c r="GK15" i="1"/>
  <c r="GN15" i="1"/>
  <c r="GI15" i="1"/>
  <c r="DI15" i="1"/>
  <c r="BY15" i="1"/>
  <c r="BU15" i="1"/>
  <c r="BV15" i="1"/>
  <c r="BW15" i="1"/>
  <c r="BX15" i="1"/>
  <c r="BZ15" i="1"/>
  <c r="CA15" i="1"/>
  <c r="CB15" i="1"/>
  <c r="CC15" i="1"/>
  <c r="CD15" i="1"/>
  <c r="CE15" i="1"/>
  <c r="DL15" i="1"/>
  <c r="GF15" i="1"/>
  <c r="GD15" i="1"/>
  <c r="GG15" i="1" s="1"/>
  <c r="GR15" i="1"/>
  <c r="GM15" i="1"/>
  <c r="HL15" i="1"/>
  <c r="HK15" i="1"/>
  <c r="BL15" i="1"/>
  <c r="BM15" i="1" s="1"/>
  <c r="EC15" i="1"/>
  <c r="EB15" i="1"/>
  <c r="ED15" i="1"/>
  <c r="EE15" i="1"/>
  <c r="EF15" i="1"/>
  <c r="EG15" i="1"/>
  <c r="EH15" i="1"/>
  <c r="EI15" i="1"/>
  <c r="EJ15" i="1"/>
  <c r="EK15" i="1"/>
  <c r="EL15" i="1"/>
  <c r="BQ15" i="1"/>
  <c r="BR15" i="1"/>
  <c r="BS15" i="1" s="1"/>
  <c r="GJ16" i="1"/>
  <c r="GK16" i="1"/>
  <c r="GO16" i="1" s="1"/>
  <c r="GN16" i="1"/>
  <c r="GI16" i="1"/>
  <c r="DI16" i="1"/>
  <c r="BY16" i="1"/>
  <c r="BU16" i="1"/>
  <c r="BV16" i="1"/>
  <c r="BW16" i="1"/>
  <c r="BX16" i="1"/>
  <c r="BZ16" i="1"/>
  <c r="CA16" i="1"/>
  <c r="CB16" i="1"/>
  <c r="CC16" i="1"/>
  <c r="CD16" i="1"/>
  <c r="CE16" i="1"/>
  <c r="DL16" i="1"/>
  <c r="GF16" i="1"/>
  <c r="GD16" i="1"/>
  <c r="GG16" i="1"/>
  <c r="GQ16" i="1"/>
  <c r="GT16" i="1" s="1"/>
  <c r="GR16" i="1"/>
  <c r="GM16" i="1"/>
  <c r="HL16" i="1"/>
  <c r="HK16" i="1"/>
  <c r="EC16" i="1"/>
  <c r="EB16" i="1"/>
  <c r="ED16" i="1"/>
  <c r="EE16" i="1"/>
  <c r="EF16" i="1"/>
  <c r="EG16" i="1"/>
  <c r="EH16" i="1"/>
  <c r="EI16" i="1"/>
  <c r="EJ16" i="1"/>
  <c r="EK16" i="1"/>
  <c r="EL16" i="1"/>
  <c r="BQ16" i="1"/>
  <c r="BR16" i="1"/>
  <c r="BS16" i="1"/>
  <c r="GJ17" i="1"/>
  <c r="GK17" i="1"/>
  <c r="GI17" i="1"/>
  <c r="DI17" i="1"/>
  <c r="BY17" i="1"/>
  <c r="BU17" i="1"/>
  <c r="BV17" i="1"/>
  <c r="BW17" i="1"/>
  <c r="BX17" i="1"/>
  <c r="BZ17" i="1"/>
  <c r="CA17" i="1"/>
  <c r="CB17" i="1"/>
  <c r="CC17" i="1"/>
  <c r="CD17" i="1"/>
  <c r="CE17" i="1"/>
  <c r="CF17" i="1"/>
  <c r="DL17" i="1"/>
  <c r="GF17" i="1"/>
  <c r="GD17" i="1"/>
  <c r="GG17" i="1"/>
  <c r="GQ17" i="1"/>
  <c r="HL17" i="1"/>
  <c r="BL17" i="1" s="1"/>
  <c r="BM17" i="1" s="1"/>
  <c r="HK17" i="1"/>
  <c r="EC17" i="1"/>
  <c r="EB17" i="1"/>
  <c r="ED17" i="1"/>
  <c r="EE17" i="1"/>
  <c r="EF17" i="1"/>
  <c r="EG17" i="1"/>
  <c r="EH17" i="1"/>
  <c r="EI17" i="1"/>
  <c r="EJ17" i="1"/>
  <c r="EK17" i="1"/>
  <c r="EL17" i="1"/>
  <c r="BQ17" i="1"/>
  <c r="BR17" i="1"/>
  <c r="BS17" i="1"/>
  <c r="GJ18" i="1"/>
  <c r="GK18" i="1"/>
  <c r="GI18" i="1"/>
  <c r="GQ18" i="1" s="1"/>
  <c r="DI18" i="1"/>
  <c r="BY18" i="1"/>
  <c r="BU18" i="1"/>
  <c r="BV18" i="1"/>
  <c r="BW18" i="1"/>
  <c r="BX18" i="1"/>
  <c r="BZ18" i="1"/>
  <c r="CA18" i="1"/>
  <c r="CB18" i="1"/>
  <c r="CC18" i="1"/>
  <c r="CD18" i="1"/>
  <c r="CE18" i="1"/>
  <c r="DL18" i="1"/>
  <c r="GF18" i="1"/>
  <c r="GD18" i="1"/>
  <c r="GG18" i="1"/>
  <c r="HL18" i="1"/>
  <c r="HK18" i="1"/>
  <c r="BL18" i="1"/>
  <c r="BM18" i="1"/>
  <c r="EC18" i="1"/>
  <c r="EB18" i="1"/>
  <c r="ED18" i="1"/>
  <c r="EE18" i="1"/>
  <c r="EF18" i="1"/>
  <c r="EG18" i="1"/>
  <c r="EH18" i="1"/>
  <c r="EI18" i="1"/>
  <c r="EJ18" i="1"/>
  <c r="EK18" i="1"/>
  <c r="EL18" i="1"/>
  <c r="EM18" i="1"/>
  <c r="ET18" i="1" s="1"/>
  <c r="BQ18" i="1"/>
  <c r="BR18" i="1"/>
  <c r="BS18" i="1" s="1"/>
  <c r="GJ19" i="1"/>
  <c r="GK19" i="1"/>
  <c r="GN19" i="1"/>
  <c r="GI19" i="1"/>
  <c r="DI19" i="1"/>
  <c r="BY19" i="1"/>
  <c r="BU19" i="1"/>
  <c r="BV19" i="1"/>
  <c r="BW19" i="1"/>
  <c r="BX19" i="1"/>
  <c r="BZ19" i="1"/>
  <c r="CA19" i="1"/>
  <c r="CB19" i="1"/>
  <c r="CC19" i="1"/>
  <c r="CD19" i="1"/>
  <c r="CE19" i="1"/>
  <c r="DL19" i="1"/>
  <c r="GF19" i="1"/>
  <c r="GD19" i="1"/>
  <c r="GG19" i="1" s="1"/>
  <c r="GR19" i="1"/>
  <c r="GM19" i="1"/>
  <c r="HL19" i="1"/>
  <c r="HK19" i="1"/>
  <c r="BL19" i="1"/>
  <c r="BM19" i="1" s="1"/>
  <c r="EC19" i="1"/>
  <c r="EB19" i="1"/>
  <c r="ED19" i="1"/>
  <c r="EE19" i="1"/>
  <c r="EF19" i="1"/>
  <c r="EG19" i="1"/>
  <c r="EH19" i="1"/>
  <c r="EI19" i="1"/>
  <c r="EJ19" i="1"/>
  <c r="EK19" i="1"/>
  <c r="EL19" i="1"/>
  <c r="BQ19" i="1"/>
  <c r="BR19" i="1"/>
  <c r="BS19" i="1" s="1"/>
  <c r="GJ20" i="1"/>
  <c r="GK20" i="1"/>
  <c r="GN20" i="1"/>
  <c r="GI20" i="1"/>
  <c r="GO20" i="1" s="1"/>
  <c r="DI20" i="1"/>
  <c r="BY20" i="1"/>
  <c r="BU20" i="1"/>
  <c r="BV20" i="1"/>
  <c r="BW20" i="1"/>
  <c r="BX20" i="1"/>
  <c r="BZ20" i="1"/>
  <c r="CA20" i="1"/>
  <c r="CB20" i="1"/>
  <c r="CC20" i="1"/>
  <c r="CD20" i="1"/>
  <c r="CE20" i="1"/>
  <c r="CF20" i="1"/>
  <c r="DL20" i="1"/>
  <c r="GF20" i="1"/>
  <c r="GD20" i="1"/>
  <c r="GG20" i="1" s="1"/>
  <c r="GQ20" i="1"/>
  <c r="GT20" i="1" s="1"/>
  <c r="GR20" i="1"/>
  <c r="GM20" i="1"/>
  <c r="HL20" i="1"/>
  <c r="BL20" i="1" s="1"/>
  <c r="BM20" i="1" s="1"/>
  <c r="HK20" i="1"/>
  <c r="EC20" i="1"/>
  <c r="EB20" i="1"/>
  <c r="ED20" i="1"/>
  <c r="EE20" i="1"/>
  <c r="EF20" i="1"/>
  <c r="EG20" i="1"/>
  <c r="EH20" i="1"/>
  <c r="EI20" i="1"/>
  <c r="EJ20" i="1"/>
  <c r="EK20" i="1"/>
  <c r="EL20" i="1"/>
  <c r="BQ20" i="1"/>
  <c r="BR20" i="1"/>
  <c r="BS20" i="1" s="1"/>
  <c r="GJ21" i="1"/>
  <c r="GN21" i="1" s="1"/>
  <c r="GK21" i="1"/>
  <c r="GR21" i="1" s="1"/>
  <c r="GI21" i="1"/>
  <c r="DI21" i="1"/>
  <c r="BY21" i="1"/>
  <c r="BU21" i="1"/>
  <c r="BV21" i="1"/>
  <c r="BW21" i="1"/>
  <c r="BX21" i="1"/>
  <c r="BZ21" i="1"/>
  <c r="CA21" i="1"/>
  <c r="CB21" i="1"/>
  <c r="CC21" i="1"/>
  <c r="CD21" i="1"/>
  <c r="CE21" i="1"/>
  <c r="DL21" i="1"/>
  <c r="GF21" i="1"/>
  <c r="GD21" i="1"/>
  <c r="GG21" i="1" s="1"/>
  <c r="GQ21" i="1"/>
  <c r="GT21" i="1"/>
  <c r="HL21" i="1"/>
  <c r="HK21" i="1"/>
  <c r="BL21" i="1"/>
  <c r="BM21" i="1" s="1"/>
  <c r="EC21" i="1"/>
  <c r="EM21" i="1" s="1"/>
  <c r="EB21" i="1"/>
  <c r="ED21" i="1"/>
  <c r="EE21" i="1"/>
  <c r="EF21" i="1"/>
  <c r="ER21" i="1" s="1"/>
  <c r="EG21" i="1"/>
  <c r="EH21" i="1"/>
  <c r="EI21" i="1"/>
  <c r="EJ21" i="1"/>
  <c r="EV21" i="1" s="1"/>
  <c r="EK21" i="1"/>
  <c r="EL21" i="1"/>
  <c r="EW21" i="1"/>
  <c r="ES21" i="1"/>
  <c r="BQ21" i="1"/>
  <c r="BR21" i="1"/>
  <c r="BS21" i="1" s="1"/>
  <c r="GJ22" i="1"/>
  <c r="GK22" i="1"/>
  <c r="GN22" i="1"/>
  <c r="GI22" i="1"/>
  <c r="GO22" i="1"/>
  <c r="DI22" i="1"/>
  <c r="BY22" i="1"/>
  <c r="CK22" i="1" s="1"/>
  <c r="BU22" i="1"/>
  <c r="BV22" i="1"/>
  <c r="CF22" i="1" s="1"/>
  <c r="CM22" i="1" s="1"/>
  <c r="BW22" i="1"/>
  <c r="BX22" i="1"/>
  <c r="BZ22" i="1"/>
  <c r="CA22" i="1"/>
  <c r="CB22" i="1"/>
  <c r="CC22" i="1"/>
  <c r="CD22" i="1"/>
  <c r="CE22" i="1"/>
  <c r="DL22" i="1"/>
  <c r="GF22" i="1"/>
  <c r="GD22" i="1"/>
  <c r="GG22" i="1"/>
  <c r="GQ22" i="1"/>
  <c r="GT22" i="1" s="1"/>
  <c r="GR22" i="1"/>
  <c r="GM22" i="1"/>
  <c r="HL22" i="1"/>
  <c r="HK22" i="1"/>
  <c r="EC22" i="1"/>
  <c r="EB22" i="1"/>
  <c r="ED22" i="1"/>
  <c r="EE22" i="1"/>
  <c r="EF22" i="1"/>
  <c r="EG22" i="1"/>
  <c r="EH22" i="1"/>
  <c r="EI22" i="1"/>
  <c r="EJ22" i="1"/>
  <c r="EK22" i="1"/>
  <c r="EL22" i="1"/>
  <c r="BQ22" i="1"/>
  <c r="BR22" i="1"/>
  <c r="BS22" i="1"/>
  <c r="GJ23" i="1"/>
  <c r="GK23" i="1"/>
  <c r="GI23" i="1"/>
  <c r="DI23" i="1"/>
  <c r="BY23" i="1"/>
  <c r="BU23" i="1"/>
  <c r="CG23" i="1" s="1"/>
  <c r="BV23" i="1"/>
  <c r="BW23" i="1"/>
  <c r="BX23" i="1"/>
  <c r="BZ23" i="1"/>
  <c r="CL23" i="1" s="1"/>
  <c r="CA23" i="1"/>
  <c r="CB23" i="1"/>
  <c r="CC23" i="1"/>
  <c r="CD23" i="1"/>
  <c r="CE23" i="1"/>
  <c r="CF23" i="1"/>
  <c r="DA23" i="1"/>
  <c r="DL23" i="1"/>
  <c r="GF23" i="1"/>
  <c r="GD23" i="1"/>
  <c r="GG23" i="1" s="1"/>
  <c r="HL23" i="1"/>
  <c r="BL23" i="1" s="1"/>
  <c r="BM23" i="1" s="1"/>
  <c r="HK23" i="1"/>
  <c r="EC23" i="1"/>
  <c r="EB23" i="1"/>
  <c r="ED23" i="1"/>
  <c r="EE23" i="1"/>
  <c r="EF23" i="1"/>
  <c r="EG23" i="1"/>
  <c r="EH23" i="1"/>
  <c r="EI23" i="1"/>
  <c r="EJ23" i="1"/>
  <c r="EK23" i="1"/>
  <c r="EL23" i="1"/>
  <c r="BQ23" i="1"/>
  <c r="BR23" i="1"/>
  <c r="BS23" i="1" s="1"/>
  <c r="GJ24" i="1"/>
  <c r="GK24" i="1"/>
  <c r="GI24" i="1"/>
  <c r="GO24" i="1"/>
  <c r="DI24" i="1"/>
  <c r="BY24" i="1"/>
  <c r="BU24" i="1"/>
  <c r="BV24" i="1"/>
  <c r="BW24" i="1"/>
  <c r="BX24" i="1"/>
  <c r="BZ24" i="1"/>
  <c r="CA24" i="1"/>
  <c r="CB24" i="1"/>
  <c r="CC24" i="1"/>
  <c r="CD24" i="1"/>
  <c r="CE24" i="1"/>
  <c r="DL24" i="1"/>
  <c r="GF24" i="1"/>
  <c r="GD24" i="1"/>
  <c r="GG24" i="1"/>
  <c r="GQ24" i="1"/>
  <c r="HL24" i="1"/>
  <c r="BL24" i="1" s="1"/>
  <c r="HK24" i="1"/>
  <c r="BM24" i="1"/>
  <c r="EC24" i="1"/>
  <c r="EB24" i="1"/>
  <c r="ED24" i="1"/>
  <c r="EE24" i="1"/>
  <c r="EF24" i="1"/>
  <c r="EG24" i="1"/>
  <c r="EH24" i="1"/>
  <c r="EI24" i="1"/>
  <c r="EJ24" i="1"/>
  <c r="EK24" i="1"/>
  <c r="EL24" i="1"/>
  <c r="EM24" i="1"/>
  <c r="EN24" i="1"/>
  <c r="BQ24" i="1"/>
  <c r="BR24" i="1"/>
  <c r="BS24" i="1"/>
  <c r="GJ25" i="1"/>
  <c r="GN25" i="1" s="1"/>
  <c r="GK25" i="1"/>
  <c r="GR25" i="1" s="1"/>
  <c r="GI25" i="1"/>
  <c r="DI25" i="1"/>
  <c r="BY25" i="1"/>
  <c r="BU25" i="1"/>
  <c r="BV25" i="1"/>
  <c r="BW25" i="1"/>
  <c r="BX25" i="1"/>
  <c r="BZ25" i="1"/>
  <c r="CA25" i="1"/>
  <c r="CB25" i="1"/>
  <c r="CC25" i="1"/>
  <c r="CD25" i="1"/>
  <c r="CE25" i="1"/>
  <c r="DL25" i="1"/>
  <c r="GF25" i="1"/>
  <c r="GD25" i="1"/>
  <c r="GG25" i="1" s="1"/>
  <c r="HL25" i="1"/>
  <c r="HK25" i="1"/>
  <c r="BL25" i="1"/>
  <c r="BM25" i="1" s="1"/>
  <c r="EC25" i="1"/>
  <c r="EB25" i="1"/>
  <c r="ED25" i="1"/>
  <c r="EE25" i="1"/>
  <c r="EF25" i="1"/>
  <c r="EG25" i="1"/>
  <c r="EH25" i="1"/>
  <c r="EI25" i="1"/>
  <c r="EJ25" i="1"/>
  <c r="EK25" i="1"/>
  <c r="EL25" i="1"/>
  <c r="BQ25" i="1"/>
  <c r="BR25" i="1"/>
  <c r="BS25" i="1" s="1"/>
  <c r="GJ26" i="1"/>
  <c r="GK26" i="1"/>
  <c r="GN26" i="1"/>
  <c r="GI26" i="1"/>
  <c r="GO26" i="1"/>
  <c r="DI26" i="1"/>
  <c r="BY26" i="1"/>
  <c r="BU26" i="1"/>
  <c r="BV26" i="1"/>
  <c r="CF26" i="1" s="1"/>
  <c r="BW26" i="1"/>
  <c r="BX26" i="1"/>
  <c r="BZ26" i="1"/>
  <c r="CA26" i="1"/>
  <c r="CB26" i="1"/>
  <c r="CC26" i="1"/>
  <c r="CD26" i="1"/>
  <c r="CE26" i="1"/>
  <c r="CK26" i="1"/>
  <c r="CI26" i="1"/>
  <c r="DL26" i="1"/>
  <c r="GF26" i="1"/>
  <c r="GD26" i="1"/>
  <c r="GG26" i="1"/>
  <c r="GQ26" i="1"/>
  <c r="GR26" i="1"/>
  <c r="GM26" i="1"/>
  <c r="HL26" i="1"/>
  <c r="BL26" i="1" s="1"/>
  <c r="BM26" i="1" s="1"/>
  <c r="HK26" i="1"/>
  <c r="EC26" i="1"/>
  <c r="EB26" i="1"/>
  <c r="ED26" i="1"/>
  <c r="EE26" i="1"/>
  <c r="EF26" i="1"/>
  <c r="EG26" i="1"/>
  <c r="EH26" i="1"/>
  <c r="EI26" i="1"/>
  <c r="EJ26" i="1"/>
  <c r="EK26" i="1"/>
  <c r="EL26" i="1"/>
  <c r="BQ26" i="1"/>
  <c r="BR26" i="1"/>
  <c r="BS26" i="1"/>
  <c r="GJ27" i="1"/>
  <c r="GN27" i="1" s="1"/>
  <c r="GK27" i="1"/>
  <c r="GI27" i="1"/>
  <c r="GO27" i="1" s="1"/>
  <c r="DI27" i="1"/>
  <c r="BY27" i="1"/>
  <c r="BU27" i="1"/>
  <c r="CG27" i="1" s="1"/>
  <c r="BV27" i="1"/>
  <c r="BW27" i="1"/>
  <c r="BX27" i="1"/>
  <c r="BZ27" i="1"/>
  <c r="CL27" i="1" s="1"/>
  <c r="CA27" i="1"/>
  <c r="CM27" i="1" s="1"/>
  <c r="CB27" i="1"/>
  <c r="CC27" i="1"/>
  <c r="CD27" i="1"/>
  <c r="CE27" i="1"/>
  <c r="CF27" i="1"/>
  <c r="DA27" i="1"/>
  <c r="DL27" i="1"/>
  <c r="GF27" i="1"/>
  <c r="GD27" i="1"/>
  <c r="GG27" i="1" s="1"/>
  <c r="GQ27" i="1"/>
  <c r="HL27" i="1"/>
  <c r="BL27" i="1" s="1"/>
  <c r="BM27" i="1" s="1"/>
  <c r="HK27" i="1"/>
  <c r="EC27" i="1"/>
  <c r="EB27" i="1"/>
  <c r="ED27" i="1"/>
  <c r="EE27" i="1"/>
  <c r="EF27" i="1"/>
  <c r="EG27" i="1"/>
  <c r="EH27" i="1"/>
  <c r="EI27" i="1"/>
  <c r="EJ27" i="1"/>
  <c r="EK27" i="1"/>
  <c r="EL27" i="1"/>
  <c r="BQ27" i="1"/>
  <c r="BR27" i="1"/>
  <c r="BS27" i="1" s="1"/>
  <c r="GJ28" i="1"/>
  <c r="GK28" i="1"/>
  <c r="GI28" i="1"/>
  <c r="DI28" i="1"/>
  <c r="BY28" i="1"/>
  <c r="BU28" i="1"/>
  <c r="BV28" i="1"/>
  <c r="BW28" i="1"/>
  <c r="BX28" i="1"/>
  <c r="BZ28" i="1"/>
  <c r="CA28" i="1"/>
  <c r="CB28" i="1"/>
  <c r="CC28" i="1"/>
  <c r="CD28" i="1"/>
  <c r="CE28" i="1"/>
  <c r="DL28" i="1"/>
  <c r="GF28" i="1"/>
  <c r="GD28" i="1"/>
  <c r="GG28" i="1"/>
  <c r="GQ28" i="1"/>
  <c r="HL28" i="1"/>
  <c r="BL28" i="1" s="1"/>
  <c r="BM28" i="1" s="1"/>
  <c r="HK28" i="1"/>
  <c r="EC28" i="1"/>
  <c r="EB28" i="1"/>
  <c r="ED28" i="1"/>
  <c r="EE28" i="1"/>
  <c r="EF28" i="1"/>
  <c r="EG28" i="1"/>
  <c r="ES28" i="1" s="1"/>
  <c r="EH28" i="1"/>
  <c r="EI28" i="1"/>
  <c r="EJ28" i="1"/>
  <c r="EK28" i="1"/>
  <c r="EW28" i="1" s="1"/>
  <c r="EL28" i="1"/>
  <c r="EM28" i="1"/>
  <c r="ET28" i="1"/>
  <c r="BQ28" i="1"/>
  <c r="BR28" i="1"/>
  <c r="BS28" i="1"/>
  <c r="GJ29" i="1"/>
  <c r="GK29" i="1"/>
  <c r="GN29" i="1" s="1"/>
  <c r="GI29" i="1"/>
  <c r="DI29" i="1"/>
  <c r="BY29" i="1"/>
  <c r="BU29" i="1"/>
  <c r="BV29" i="1"/>
  <c r="BW29" i="1"/>
  <c r="BX29" i="1"/>
  <c r="BZ29" i="1"/>
  <c r="CA29" i="1"/>
  <c r="CB29" i="1"/>
  <c r="CC29" i="1"/>
  <c r="CD29" i="1"/>
  <c r="CE29" i="1"/>
  <c r="DL29" i="1"/>
  <c r="GF29" i="1"/>
  <c r="GD29" i="1"/>
  <c r="GG29" i="1" s="1"/>
  <c r="GQ29" i="1"/>
  <c r="HL29" i="1"/>
  <c r="HK29" i="1"/>
  <c r="BL29" i="1"/>
  <c r="BM29" i="1" s="1"/>
  <c r="EC29" i="1"/>
  <c r="EB29" i="1"/>
  <c r="EM29" i="1" s="1"/>
  <c r="ED29" i="1"/>
  <c r="EP29" i="1" s="1"/>
  <c r="EE29" i="1"/>
  <c r="EF29" i="1"/>
  <c r="EG29" i="1"/>
  <c r="EH29" i="1"/>
  <c r="ET29" i="1" s="1"/>
  <c r="EI29" i="1"/>
  <c r="EJ29" i="1"/>
  <c r="EK29" i="1"/>
  <c r="EL29" i="1"/>
  <c r="BQ29" i="1"/>
  <c r="BR29" i="1"/>
  <c r="BS29" i="1" s="1"/>
  <c r="GJ30" i="1"/>
  <c r="GK30" i="1"/>
  <c r="GN30" i="1"/>
  <c r="GI30" i="1"/>
  <c r="GO30" i="1"/>
  <c r="DI30" i="1"/>
  <c r="BY30" i="1"/>
  <c r="BU30" i="1"/>
  <c r="BV30" i="1"/>
  <c r="CF30" i="1" s="1"/>
  <c r="BW30" i="1"/>
  <c r="BX30" i="1"/>
  <c r="CJ30" i="1" s="1"/>
  <c r="BZ30" i="1"/>
  <c r="CA30" i="1"/>
  <c r="CB30" i="1"/>
  <c r="CC30" i="1"/>
  <c r="CD30" i="1"/>
  <c r="CE30" i="1"/>
  <c r="DL30" i="1"/>
  <c r="GF30" i="1"/>
  <c r="GD30" i="1"/>
  <c r="GG30" i="1"/>
  <c r="GQ30" i="1"/>
  <c r="GT30" i="1" s="1"/>
  <c r="GR30" i="1"/>
  <c r="GM30" i="1"/>
  <c r="HL30" i="1"/>
  <c r="BL30" i="1" s="1"/>
  <c r="BM30" i="1" s="1"/>
  <c r="HK30" i="1"/>
  <c r="EC30" i="1"/>
  <c r="EB30" i="1"/>
  <c r="EM30" i="1" s="1"/>
  <c r="ED30" i="1"/>
  <c r="EE30" i="1"/>
  <c r="EQ30" i="1" s="1"/>
  <c r="EF30" i="1"/>
  <c r="EG30" i="1"/>
  <c r="ES30" i="1" s="1"/>
  <c r="EH30" i="1"/>
  <c r="EI30" i="1"/>
  <c r="EU30" i="1" s="1"/>
  <c r="EJ30" i="1"/>
  <c r="EK30" i="1"/>
  <c r="EW30" i="1" s="1"/>
  <c r="EL30" i="1"/>
  <c r="BQ30" i="1"/>
  <c r="BR30" i="1"/>
  <c r="BS30" i="1"/>
  <c r="GJ31" i="1"/>
  <c r="GN31" i="1" s="1"/>
  <c r="GK31" i="1"/>
  <c r="GR31" i="1" s="1"/>
  <c r="GT31" i="1" s="1"/>
  <c r="GI31" i="1"/>
  <c r="GO31" i="1" s="1"/>
  <c r="DI31" i="1"/>
  <c r="BY31" i="1"/>
  <c r="BU31" i="1"/>
  <c r="BV31" i="1"/>
  <c r="BW31" i="1"/>
  <c r="BX31" i="1"/>
  <c r="BZ31" i="1"/>
  <c r="CA31" i="1"/>
  <c r="CB31" i="1"/>
  <c r="CC31" i="1"/>
  <c r="CD31" i="1"/>
  <c r="CE31" i="1"/>
  <c r="DL31" i="1"/>
  <c r="GF31" i="1"/>
  <c r="GD31" i="1"/>
  <c r="GG31" i="1" s="1"/>
  <c r="GQ31" i="1"/>
  <c r="HL31" i="1"/>
  <c r="HK31" i="1"/>
  <c r="BL31" i="1"/>
  <c r="BM31" i="1" s="1"/>
  <c r="EC31" i="1"/>
  <c r="EM31" i="1" s="1"/>
  <c r="EB31" i="1"/>
  <c r="ED31" i="1"/>
  <c r="EE31" i="1"/>
  <c r="EF31" i="1"/>
  <c r="ER31" i="1" s="1"/>
  <c r="EG31" i="1"/>
  <c r="EH31" i="1"/>
  <c r="EI31" i="1"/>
  <c r="EJ31" i="1"/>
  <c r="EV31" i="1" s="1"/>
  <c r="EK31" i="1"/>
  <c r="EL31" i="1"/>
  <c r="BQ31" i="1"/>
  <c r="BR31" i="1"/>
  <c r="BS31" i="1" s="1"/>
  <c r="GJ32" i="1"/>
  <c r="GK32" i="1"/>
  <c r="GN32" i="1"/>
  <c r="GI32" i="1"/>
  <c r="GO32" i="1"/>
  <c r="DI32" i="1"/>
  <c r="BY32" i="1"/>
  <c r="BU32" i="1"/>
  <c r="BV32" i="1"/>
  <c r="BW32" i="1"/>
  <c r="BX32" i="1"/>
  <c r="BZ32" i="1"/>
  <c r="CA32" i="1"/>
  <c r="CB32" i="1"/>
  <c r="CC32" i="1"/>
  <c r="CD32" i="1"/>
  <c r="CE32" i="1"/>
  <c r="DL32" i="1"/>
  <c r="GF32" i="1"/>
  <c r="GD32" i="1"/>
  <c r="GG32" i="1"/>
  <c r="GQ32" i="1"/>
  <c r="GT32" i="1" s="1"/>
  <c r="GR32" i="1"/>
  <c r="GM32" i="1"/>
  <c r="HL32" i="1"/>
  <c r="BL32" i="1" s="1"/>
  <c r="BM32" i="1" s="1"/>
  <c r="HK32" i="1"/>
  <c r="EC32" i="1"/>
  <c r="EB32" i="1"/>
  <c r="ED32" i="1"/>
  <c r="EE32" i="1"/>
  <c r="EF32" i="1"/>
  <c r="EG32" i="1"/>
  <c r="EH32" i="1"/>
  <c r="EI32" i="1"/>
  <c r="EJ32" i="1"/>
  <c r="EK32" i="1"/>
  <c r="EL32" i="1"/>
  <c r="BQ32" i="1"/>
  <c r="BR32" i="1"/>
  <c r="BS32" i="1"/>
  <c r="GJ33" i="1"/>
  <c r="GK33" i="1"/>
  <c r="GI33" i="1"/>
  <c r="DI33" i="1"/>
  <c r="BY33" i="1"/>
  <c r="BU33" i="1"/>
  <c r="CG33" i="1" s="1"/>
  <c r="BV33" i="1"/>
  <c r="BW33" i="1"/>
  <c r="BX33" i="1"/>
  <c r="BZ33" i="1"/>
  <c r="CL33" i="1" s="1"/>
  <c r="CA33" i="1"/>
  <c r="CB33" i="1"/>
  <c r="CC33" i="1"/>
  <c r="CD33" i="1"/>
  <c r="CE33" i="1"/>
  <c r="CF33" i="1"/>
  <c r="DA33" i="1"/>
  <c r="DL33" i="1"/>
  <c r="GF33" i="1"/>
  <c r="GD33" i="1"/>
  <c r="GG33" i="1" s="1"/>
  <c r="HL33" i="1"/>
  <c r="BL33" i="1" s="1"/>
  <c r="BM33" i="1" s="1"/>
  <c r="HK33" i="1"/>
  <c r="EC33" i="1"/>
  <c r="EB33" i="1"/>
  <c r="EM33" i="1" s="1"/>
  <c r="ED33" i="1"/>
  <c r="EE33" i="1"/>
  <c r="EF33" i="1"/>
  <c r="EG33" i="1"/>
  <c r="EH33" i="1"/>
  <c r="EI33" i="1"/>
  <c r="EJ33" i="1"/>
  <c r="EK33" i="1"/>
  <c r="EL33" i="1"/>
  <c r="EU33" i="1"/>
  <c r="BQ33" i="1"/>
  <c r="BR33" i="1"/>
  <c r="BS33" i="1" s="1"/>
  <c r="GJ34" i="1"/>
  <c r="GK34" i="1"/>
  <c r="GI34" i="1"/>
  <c r="DI34" i="1"/>
  <c r="BY34" i="1"/>
  <c r="BU34" i="1"/>
  <c r="BV34" i="1"/>
  <c r="BW34" i="1"/>
  <c r="BX34" i="1"/>
  <c r="BZ34" i="1"/>
  <c r="CA34" i="1"/>
  <c r="CB34" i="1"/>
  <c r="CC34" i="1"/>
  <c r="CD34" i="1"/>
  <c r="CE34" i="1"/>
  <c r="DL34" i="1"/>
  <c r="GF34" i="1"/>
  <c r="GD34" i="1"/>
  <c r="GG34" i="1"/>
  <c r="GQ34" i="1"/>
  <c r="HL34" i="1"/>
  <c r="BL34" i="1" s="1"/>
  <c r="BM34" i="1" s="1"/>
  <c r="HK34" i="1"/>
  <c r="EC34" i="1"/>
  <c r="EB34" i="1"/>
  <c r="ED34" i="1"/>
  <c r="EE34" i="1"/>
  <c r="EF34" i="1"/>
  <c r="EG34" i="1"/>
  <c r="ES34" i="1" s="1"/>
  <c r="EH34" i="1"/>
  <c r="EI34" i="1"/>
  <c r="EJ34" i="1"/>
  <c r="EK34" i="1"/>
  <c r="EW34" i="1" s="1"/>
  <c r="EL34" i="1"/>
  <c r="EM34" i="1"/>
  <c r="ET34" i="1"/>
  <c r="EN34" i="1"/>
  <c r="BQ34" i="1"/>
  <c r="BR34" i="1"/>
  <c r="BS34" i="1"/>
  <c r="GJ35" i="1"/>
  <c r="GN35" i="1" s="1"/>
  <c r="GK35" i="1"/>
  <c r="GI35" i="1"/>
  <c r="DI35" i="1"/>
  <c r="BY35" i="1"/>
  <c r="BU35" i="1"/>
  <c r="BV35" i="1"/>
  <c r="BW35" i="1"/>
  <c r="BX35" i="1"/>
  <c r="BZ35" i="1"/>
  <c r="CA35" i="1"/>
  <c r="CB35" i="1"/>
  <c r="CC35" i="1"/>
  <c r="CD35" i="1"/>
  <c r="CE35" i="1"/>
  <c r="DL35" i="1"/>
  <c r="GF35" i="1"/>
  <c r="GD35" i="1"/>
  <c r="GG35" i="1" s="1"/>
  <c r="HL35" i="1"/>
  <c r="HK35" i="1"/>
  <c r="BL35" i="1"/>
  <c r="BM35" i="1" s="1"/>
  <c r="EC35" i="1"/>
  <c r="EB35" i="1"/>
  <c r="ED35" i="1"/>
  <c r="EE35" i="1"/>
  <c r="EF35" i="1"/>
  <c r="EG35" i="1"/>
  <c r="EH35" i="1"/>
  <c r="EI35" i="1"/>
  <c r="EJ35" i="1"/>
  <c r="EK35" i="1"/>
  <c r="EL35" i="1"/>
  <c r="BQ35" i="1"/>
  <c r="BR35" i="1"/>
  <c r="BS35" i="1" s="1"/>
  <c r="GJ36" i="1"/>
  <c r="GK36" i="1"/>
  <c r="GN36" i="1"/>
  <c r="GI36" i="1"/>
  <c r="GQ36" i="1" s="1"/>
  <c r="GT36" i="1" s="1"/>
  <c r="GO36" i="1"/>
  <c r="DI36" i="1"/>
  <c r="BY36" i="1"/>
  <c r="BU36" i="1"/>
  <c r="CF36" i="1" s="1"/>
  <c r="BV36" i="1"/>
  <c r="BW36" i="1"/>
  <c r="BX36" i="1"/>
  <c r="BZ36" i="1"/>
  <c r="CA36" i="1"/>
  <c r="CB36" i="1"/>
  <c r="CC36" i="1"/>
  <c r="CD36" i="1"/>
  <c r="CE36" i="1"/>
  <c r="DL36" i="1"/>
  <c r="GF36" i="1"/>
  <c r="GD36" i="1"/>
  <c r="GG36" i="1"/>
  <c r="GR36" i="1"/>
  <c r="GM36" i="1"/>
  <c r="HL36" i="1"/>
  <c r="HK36" i="1"/>
  <c r="BL36" i="1" s="1"/>
  <c r="BM36" i="1" s="1"/>
  <c r="EC36" i="1"/>
  <c r="EB36" i="1"/>
  <c r="ED36" i="1"/>
  <c r="EE36" i="1"/>
  <c r="EF36" i="1"/>
  <c r="EG36" i="1"/>
  <c r="EH36" i="1"/>
  <c r="EI36" i="1"/>
  <c r="EJ36" i="1"/>
  <c r="EK36" i="1"/>
  <c r="EL36" i="1"/>
  <c r="BQ36" i="1"/>
  <c r="BR36" i="1"/>
  <c r="BS36" i="1"/>
  <c r="GJ37" i="1"/>
  <c r="GK37" i="1"/>
  <c r="GI37" i="1"/>
  <c r="DI37" i="1"/>
  <c r="BY37" i="1"/>
  <c r="BU37" i="1"/>
  <c r="CG37" i="1" s="1"/>
  <c r="BV37" i="1"/>
  <c r="BW37" i="1"/>
  <c r="BX37" i="1"/>
  <c r="BZ37" i="1"/>
  <c r="CL37" i="1" s="1"/>
  <c r="CA37" i="1"/>
  <c r="CB37" i="1"/>
  <c r="CC37" i="1"/>
  <c r="CD37" i="1"/>
  <c r="CE37" i="1"/>
  <c r="CF37" i="1"/>
  <c r="DA37" i="1"/>
  <c r="DL37" i="1"/>
  <c r="GF37" i="1"/>
  <c r="GD37" i="1"/>
  <c r="GG37" i="1" s="1"/>
  <c r="HL37" i="1"/>
  <c r="BL37" i="1" s="1"/>
  <c r="BM37" i="1" s="1"/>
  <c r="HK37" i="1"/>
  <c r="EC37" i="1"/>
  <c r="EB37" i="1"/>
  <c r="EM37" i="1" s="1"/>
  <c r="ED37" i="1"/>
  <c r="EE37" i="1"/>
  <c r="EF37" i="1"/>
  <c r="EG37" i="1"/>
  <c r="EH37" i="1"/>
  <c r="EI37" i="1"/>
  <c r="EJ37" i="1"/>
  <c r="EK37" i="1"/>
  <c r="EL37" i="1"/>
  <c r="EU37" i="1"/>
  <c r="BQ37" i="1"/>
  <c r="BR37" i="1"/>
  <c r="BS37" i="1" s="1"/>
  <c r="GJ38" i="1"/>
  <c r="GK38" i="1"/>
  <c r="GI38" i="1"/>
  <c r="DI38" i="1"/>
  <c r="BY38" i="1"/>
  <c r="BU38" i="1"/>
  <c r="BV38" i="1"/>
  <c r="BW38" i="1"/>
  <c r="BX38" i="1"/>
  <c r="BZ38" i="1"/>
  <c r="CA38" i="1"/>
  <c r="CB38" i="1"/>
  <c r="CC38" i="1"/>
  <c r="CD38" i="1"/>
  <c r="CE38" i="1"/>
  <c r="DL38" i="1"/>
  <c r="GF38" i="1"/>
  <c r="GD38" i="1"/>
  <c r="GG38" i="1"/>
  <c r="GQ38" i="1"/>
  <c r="HL38" i="1"/>
  <c r="BL38" i="1" s="1"/>
  <c r="BM38" i="1" s="1"/>
  <c r="HK38" i="1"/>
  <c r="EC38" i="1"/>
  <c r="EB38" i="1"/>
  <c r="ED38" i="1"/>
  <c r="EE38" i="1"/>
  <c r="EF38" i="1"/>
  <c r="EG38" i="1"/>
  <c r="ES38" i="1" s="1"/>
  <c r="EH38" i="1"/>
  <c r="EI38" i="1"/>
  <c r="EJ38" i="1"/>
  <c r="EK38" i="1"/>
  <c r="EW38" i="1" s="1"/>
  <c r="EL38" i="1"/>
  <c r="EM38" i="1"/>
  <c r="ET38" i="1"/>
  <c r="EN38" i="1"/>
  <c r="BQ38" i="1"/>
  <c r="BR38" i="1"/>
  <c r="BS38" i="1"/>
  <c r="GJ39" i="1"/>
  <c r="GN39" i="1" s="1"/>
  <c r="GK39" i="1"/>
  <c r="GI39" i="1"/>
  <c r="DI39" i="1"/>
  <c r="BY39" i="1"/>
  <c r="BU39" i="1"/>
  <c r="BV39" i="1"/>
  <c r="BW39" i="1"/>
  <c r="BX39" i="1"/>
  <c r="BZ39" i="1"/>
  <c r="CA39" i="1"/>
  <c r="CB39" i="1"/>
  <c r="CC39" i="1"/>
  <c r="CD39" i="1"/>
  <c r="CE39" i="1"/>
  <c r="DL39" i="1"/>
  <c r="GF39" i="1"/>
  <c r="GD39" i="1"/>
  <c r="GG39" i="1" s="1"/>
  <c r="HL39" i="1"/>
  <c r="HK39" i="1"/>
  <c r="BL39" i="1"/>
  <c r="BM39" i="1" s="1"/>
  <c r="EC39" i="1"/>
  <c r="EB39" i="1"/>
  <c r="ED39" i="1"/>
  <c r="EE39" i="1"/>
  <c r="EF39" i="1"/>
  <c r="EG39" i="1"/>
  <c r="EH39" i="1"/>
  <c r="EI39" i="1"/>
  <c r="EJ39" i="1"/>
  <c r="EK39" i="1"/>
  <c r="EL39" i="1"/>
  <c r="BQ39" i="1"/>
  <c r="BR39" i="1"/>
  <c r="BS39" i="1" s="1"/>
  <c r="GJ40" i="1"/>
  <c r="GK40" i="1"/>
  <c r="GN40" i="1"/>
  <c r="GI40" i="1"/>
  <c r="GQ40" i="1" s="1"/>
  <c r="GT40" i="1" s="1"/>
  <c r="GO40" i="1"/>
  <c r="DI40" i="1"/>
  <c r="BY40" i="1"/>
  <c r="BU40" i="1"/>
  <c r="CF40" i="1" s="1"/>
  <c r="BV40" i="1"/>
  <c r="BW40" i="1"/>
  <c r="BX40" i="1"/>
  <c r="BZ40" i="1"/>
  <c r="CA40" i="1"/>
  <c r="CB40" i="1"/>
  <c r="CC40" i="1"/>
  <c r="CD40" i="1"/>
  <c r="CE40" i="1"/>
  <c r="DL40" i="1"/>
  <c r="GF40" i="1"/>
  <c r="GD40" i="1"/>
  <c r="GG40" i="1"/>
  <c r="GR40" i="1"/>
  <c r="GM40" i="1"/>
  <c r="HL40" i="1"/>
  <c r="HK40" i="1"/>
  <c r="BL40" i="1" s="1"/>
  <c r="BM40" i="1" s="1"/>
  <c r="EC40" i="1"/>
  <c r="EB40" i="1"/>
  <c r="ED40" i="1"/>
  <c r="EE40" i="1"/>
  <c r="EF40" i="1"/>
  <c r="EG40" i="1"/>
  <c r="EH40" i="1"/>
  <c r="EI40" i="1"/>
  <c r="EJ40" i="1"/>
  <c r="EK40" i="1"/>
  <c r="EL40" i="1"/>
  <c r="BQ40" i="1"/>
  <c r="BR40" i="1"/>
  <c r="BS40" i="1"/>
  <c r="GD9" i="2"/>
  <c r="GD10" i="2"/>
  <c r="GD11" i="2"/>
  <c r="GD12" i="2"/>
  <c r="GD13" i="2"/>
  <c r="GD14" i="2"/>
  <c r="GD15" i="2"/>
  <c r="GD16" i="2"/>
  <c r="GD17" i="2"/>
  <c r="GD18" i="2"/>
  <c r="GD19" i="2"/>
  <c r="GD20" i="2"/>
  <c r="GD21" i="2"/>
  <c r="GD22" i="2"/>
  <c r="GD23" i="2"/>
  <c r="GD24" i="2"/>
  <c r="GD25" i="2"/>
  <c r="GD26" i="2"/>
  <c r="GD27" i="2"/>
  <c r="GD28" i="2"/>
  <c r="GD29" i="2"/>
  <c r="GD30" i="2"/>
  <c r="GD31" i="2"/>
  <c r="GD32" i="2"/>
  <c r="GD33" i="2"/>
  <c r="GD34" i="2"/>
  <c r="GD35" i="2"/>
  <c r="GD36" i="2"/>
  <c r="GD37" i="2"/>
  <c r="GD38" i="2"/>
  <c r="GD39" i="2"/>
  <c r="GD40" i="2"/>
  <c r="GD8" i="2"/>
  <c r="GD8" i="1"/>
  <c r="GE9" i="1"/>
  <c r="GE10" i="1"/>
  <c r="DI8" i="1"/>
  <c r="BY8" i="1"/>
  <c r="BU8" i="1"/>
  <c r="BV8" i="1"/>
  <c r="BW8" i="1"/>
  <c r="BX8" i="1"/>
  <c r="BZ8" i="1"/>
  <c r="CA8" i="1"/>
  <c r="CB8" i="1"/>
  <c r="CC8" i="1"/>
  <c r="CD8" i="1"/>
  <c r="CE8" i="1"/>
  <c r="CF8" i="1"/>
  <c r="DL8" i="1"/>
  <c r="GF8" i="1"/>
  <c r="GK8" i="1"/>
  <c r="GR8" i="1" s="1"/>
  <c r="GR2" i="1" s="1"/>
  <c r="GJ8" i="1"/>
  <c r="GI8" i="1"/>
  <c r="GM8" i="1"/>
  <c r="GM2" i="1" s="1"/>
  <c r="GE11" i="1"/>
  <c r="GE12" i="1"/>
  <c r="GE13" i="1"/>
  <c r="GE14" i="1"/>
  <c r="GE15" i="1"/>
  <c r="GE16" i="1"/>
  <c r="GE17" i="1"/>
  <c r="GE18" i="1"/>
  <c r="GE19" i="1"/>
  <c r="GE20" i="1"/>
  <c r="GE21" i="1"/>
  <c r="GE22" i="1"/>
  <c r="GE23" i="1"/>
  <c r="GE24" i="1"/>
  <c r="GE25" i="1"/>
  <c r="GE26" i="1"/>
  <c r="GE27" i="1"/>
  <c r="GE28" i="1"/>
  <c r="GE29" i="1"/>
  <c r="GE30" i="1"/>
  <c r="GE31" i="1"/>
  <c r="GE32" i="1"/>
  <c r="GE33" i="1"/>
  <c r="GE34" i="1"/>
  <c r="GE35" i="1"/>
  <c r="GE36" i="1"/>
  <c r="GE37" i="1"/>
  <c r="GE38" i="1"/>
  <c r="GE39" i="1"/>
  <c r="GE40" i="1"/>
  <c r="GE8" i="1"/>
  <c r="GE2" i="1"/>
  <c r="GF2" i="1"/>
  <c r="GX2" i="1"/>
  <c r="EC8" i="1"/>
  <c r="EB8" i="1"/>
  <c r="ED8" i="1"/>
  <c r="EE8" i="1"/>
  <c r="EF8" i="1"/>
  <c r="EG8" i="1"/>
  <c r="EH8" i="1"/>
  <c r="EI8" i="1"/>
  <c r="EJ8" i="1"/>
  <c r="EK8" i="1"/>
  <c r="EL8" i="1"/>
  <c r="HK8" i="1"/>
  <c r="HK2" i="1" s="1"/>
  <c r="HL8" i="1"/>
  <c r="HL2" i="1" s="1"/>
  <c r="BR8" i="1"/>
  <c r="BS8" i="1"/>
  <c r="BQ8" i="1"/>
  <c r="AD2" i="2"/>
  <c r="AD2" i="1"/>
  <c r="BR9" i="2"/>
  <c r="BS9" i="2" s="1"/>
  <c r="BR10" i="2"/>
  <c r="BS10" i="2"/>
  <c r="BR11" i="2"/>
  <c r="BS11" i="2" s="1"/>
  <c r="BR12" i="2"/>
  <c r="BS12" i="2"/>
  <c r="BR13" i="2"/>
  <c r="BS13" i="2" s="1"/>
  <c r="BR14" i="2"/>
  <c r="BS14" i="2"/>
  <c r="BR15" i="2"/>
  <c r="BS15" i="2" s="1"/>
  <c r="BR16" i="2"/>
  <c r="BS16" i="2"/>
  <c r="BR17" i="2"/>
  <c r="BS17" i="2" s="1"/>
  <c r="BR18" i="2"/>
  <c r="BS18" i="2"/>
  <c r="BR19" i="2"/>
  <c r="BS19" i="2" s="1"/>
  <c r="BR20" i="2"/>
  <c r="BS20" i="2"/>
  <c r="BR21" i="2"/>
  <c r="BS21" i="2" s="1"/>
  <c r="BR22" i="2"/>
  <c r="BS22" i="2"/>
  <c r="BR23" i="2"/>
  <c r="BS23" i="2" s="1"/>
  <c r="BR24" i="2"/>
  <c r="BS24" i="2"/>
  <c r="BR25" i="2"/>
  <c r="BS25" i="2" s="1"/>
  <c r="BR26" i="2"/>
  <c r="BS26" i="2"/>
  <c r="BR27" i="2"/>
  <c r="BS27" i="2" s="1"/>
  <c r="BR28" i="2"/>
  <c r="BS28" i="2"/>
  <c r="BR29" i="2"/>
  <c r="BS29" i="2" s="1"/>
  <c r="BR30" i="2"/>
  <c r="BS30" i="2"/>
  <c r="BR31" i="2"/>
  <c r="BS31" i="2" s="1"/>
  <c r="BR32" i="2"/>
  <c r="BS32" i="2"/>
  <c r="BR33" i="2"/>
  <c r="BS33" i="2" s="1"/>
  <c r="BR34" i="2"/>
  <c r="BS34" i="2"/>
  <c r="BR35" i="2"/>
  <c r="BS35" i="2" s="1"/>
  <c r="BR36" i="2"/>
  <c r="BS36" i="2"/>
  <c r="BR37" i="2"/>
  <c r="BS37" i="2" s="1"/>
  <c r="BR38" i="2"/>
  <c r="BS38" i="2"/>
  <c r="BR39" i="2"/>
  <c r="BS39" i="2" s="1"/>
  <c r="BR40" i="2"/>
  <c r="BS40" i="2"/>
  <c r="BR8" i="2"/>
  <c r="BS8" i="2" s="1"/>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8" i="2"/>
  <c r="EC9" i="2"/>
  <c r="EB9" i="2"/>
  <c r="ED9" i="2"/>
  <c r="EE9" i="2"/>
  <c r="EF9" i="2"/>
  <c r="EG9" i="2"/>
  <c r="EH9" i="2"/>
  <c r="EI9" i="2"/>
  <c r="EJ9" i="2"/>
  <c r="EK9" i="2"/>
  <c r="EL9" i="2"/>
  <c r="HL9" i="2"/>
  <c r="BL9" i="2" s="1"/>
  <c r="HK9" i="2"/>
  <c r="BM9" i="2"/>
  <c r="EC10" i="2"/>
  <c r="EB10" i="2"/>
  <c r="ED10" i="2"/>
  <c r="EE10" i="2"/>
  <c r="EQ10" i="2" s="1"/>
  <c r="EF10" i="2"/>
  <c r="EG10" i="2"/>
  <c r="EH10" i="2"/>
  <c r="EI10" i="2"/>
  <c r="EJ10" i="2"/>
  <c r="EK10" i="2"/>
  <c r="EW10" i="2" s="1"/>
  <c r="EL10" i="2"/>
  <c r="EM10" i="2"/>
  <c r="EU10" i="2"/>
  <c r="EN10" i="2"/>
  <c r="HL10" i="2"/>
  <c r="HK10" i="2"/>
  <c r="BL10" i="2"/>
  <c r="BM10" i="2" s="1"/>
  <c r="EC11" i="2"/>
  <c r="EB11" i="2"/>
  <c r="ED11" i="2"/>
  <c r="EE11" i="2"/>
  <c r="EF11" i="2"/>
  <c r="EG11" i="2"/>
  <c r="EH11" i="2"/>
  <c r="EI11" i="2"/>
  <c r="EJ11" i="2"/>
  <c r="EK11" i="2"/>
  <c r="EL11" i="2"/>
  <c r="HL11" i="2"/>
  <c r="HK11" i="2"/>
  <c r="BL11" i="2" s="1"/>
  <c r="BM11" i="2" s="1"/>
  <c r="EC12" i="2"/>
  <c r="EB12" i="2"/>
  <c r="ED12" i="2"/>
  <c r="EE12" i="2"/>
  <c r="EF12" i="2"/>
  <c r="EG12" i="2"/>
  <c r="EH12" i="2"/>
  <c r="EI12" i="2"/>
  <c r="EJ12" i="2"/>
  <c r="EK12" i="2"/>
  <c r="EL12" i="2"/>
  <c r="HL12" i="2"/>
  <c r="BL12" i="2" s="1"/>
  <c r="BM12" i="2" s="1"/>
  <c r="HK12" i="2"/>
  <c r="EC13" i="2"/>
  <c r="EB13" i="2"/>
  <c r="ED13" i="2"/>
  <c r="EE13" i="2"/>
  <c r="EF13" i="2"/>
  <c r="EG13" i="2"/>
  <c r="EH13" i="2"/>
  <c r="EI13" i="2"/>
  <c r="EJ13" i="2"/>
  <c r="EK13" i="2"/>
  <c r="EL13" i="2"/>
  <c r="HL13" i="2"/>
  <c r="HK13" i="2"/>
  <c r="EC14" i="2"/>
  <c r="EB14" i="2"/>
  <c r="ED14" i="2"/>
  <c r="EE14" i="2"/>
  <c r="EF14" i="2"/>
  <c r="EG14" i="2"/>
  <c r="EH14" i="2"/>
  <c r="EI14" i="2"/>
  <c r="EJ14" i="2"/>
  <c r="EK14" i="2"/>
  <c r="EL14" i="2"/>
  <c r="HL14" i="2"/>
  <c r="HK14" i="2"/>
  <c r="BL14" i="2"/>
  <c r="BM14" i="2"/>
  <c r="EC15" i="2"/>
  <c r="EB15" i="2"/>
  <c r="ED15" i="2"/>
  <c r="EE15" i="2"/>
  <c r="EF15" i="2"/>
  <c r="EG15" i="2"/>
  <c r="EH15" i="2"/>
  <c r="EI15" i="2"/>
  <c r="EJ15" i="2"/>
  <c r="EK15" i="2"/>
  <c r="EL15" i="2"/>
  <c r="EM15" i="2"/>
  <c r="HL15" i="2"/>
  <c r="HK15" i="2"/>
  <c r="BL15" i="2"/>
  <c r="BM15" i="2" s="1"/>
  <c r="EC16" i="2"/>
  <c r="EB16" i="2"/>
  <c r="ED16" i="2"/>
  <c r="EE16" i="2"/>
  <c r="EF16" i="2"/>
  <c r="EG16" i="2"/>
  <c r="EH16" i="2"/>
  <c r="EI16" i="2"/>
  <c r="EJ16" i="2"/>
  <c r="EK16" i="2"/>
  <c r="EL16" i="2"/>
  <c r="HL16" i="2"/>
  <c r="HK16" i="2"/>
  <c r="EC17" i="2"/>
  <c r="EB17" i="2"/>
  <c r="ED17" i="2"/>
  <c r="EE17" i="2"/>
  <c r="EF17" i="2"/>
  <c r="EG17" i="2"/>
  <c r="EH17" i="2"/>
  <c r="EI17" i="2"/>
  <c r="EJ17" i="2"/>
  <c r="EK17" i="2"/>
  <c r="EL17" i="2"/>
  <c r="HL17" i="2"/>
  <c r="BL17" i="2" s="1"/>
  <c r="BM17" i="2" s="1"/>
  <c r="HK17" i="2"/>
  <c r="EC18" i="2"/>
  <c r="EB18" i="2"/>
  <c r="ED18" i="2"/>
  <c r="EE18" i="2"/>
  <c r="EF18" i="2"/>
  <c r="EG18" i="2"/>
  <c r="EH18" i="2"/>
  <c r="EI18" i="2"/>
  <c r="EJ18" i="2"/>
  <c r="EK18" i="2"/>
  <c r="EL18" i="2"/>
  <c r="HL18" i="2"/>
  <c r="HK18" i="2"/>
  <c r="BL18" i="2"/>
  <c r="BM18" i="2"/>
  <c r="EC19" i="2"/>
  <c r="EB19" i="2"/>
  <c r="ED19" i="2"/>
  <c r="EP19" i="2" s="1"/>
  <c r="EE19" i="2"/>
  <c r="EF19" i="2"/>
  <c r="EG19" i="2"/>
  <c r="EH19" i="2"/>
  <c r="EI19" i="2"/>
  <c r="EJ19" i="2"/>
  <c r="EK19" i="2"/>
  <c r="EL19" i="2"/>
  <c r="EM19" i="2"/>
  <c r="EQ19" i="2"/>
  <c r="EU19" i="2"/>
  <c r="EN19" i="2"/>
  <c r="HL19" i="2"/>
  <c r="HK19" i="2"/>
  <c r="BL19" i="2"/>
  <c r="BM19" i="2" s="1"/>
  <c r="EC20" i="2"/>
  <c r="EB20" i="2"/>
  <c r="EM20" i="2" s="1"/>
  <c r="ED20" i="2"/>
  <c r="EE20" i="2"/>
  <c r="EF20" i="2"/>
  <c r="EG20" i="2"/>
  <c r="EH20" i="2"/>
  <c r="EI20" i="2"/>
  <c r="EJ20" i="2"/>
  <c r="EK20" i="2"/>
  <c r="EL20" i="2"/>
  <c r="HL20" i="2"/>
  <c r="HK20" i="2"/>
  <c r="EC21" i="2"/>
  <c r="EB21" i="2"/>
  <c r="ED21" i="2"/>
  <c r="EE21" i="2"/>
  <c r="EF21" i="2"/>
  <c r="EG21" i="2"/>
  <c r="EH21" i="2"/>
  <c r="EI21" i="2"/>
  <c r="EJ21" i="2"/>
  <c r="EK21" i="2"/>
  <c r="EL21" i="2"/>
  <c r="HL21" i="2"/>
  <c r="BL21" i="2" s="1"/>
  <c r="BM21" i="2" s="1"/>
  <c r="HK21" i="2"/>
  <c r="EC22" i="2"/>
  <c r="EB22" i="2"/>
  <c r="ED22" i="2"/>
  <c r="EE22" i="2"/>
  <c r="EF22" i="2"/>
  <c r="EG22" i="2"/>
  <c r="EH22" i="2"/>
  <c r="EI22" i="2"/>
  <c r="EJ22" i="2"/>
  <c r="EK22" i="2"/>
  <c r="EL22" i="2"/>
  <c r="HL22" i="2"/>
  <c r="HK22" i="2"/>
  <c r="BL22" i="2"/>
  <c r="BM22" i="2"/>
  <c r="EC23" i="2"/>
  <c r="EB23" i="2"/>
  <c r="ED23" i="2"/>
  <c r="EE23" i="2"/>
  <c r="EF23" i="2"/>
  <c r="EG23" i="2"/>
  <c r="EH23" i="2"/>
  <c r="EI23" i="2"/>
  <c r="EJ23" i="2"/>
  <c r="EK23" i="2"/>
  <c r="EL23" i="2"/>
  <c r="EM23" i="2"/>
  <c r="EQ23" i="2"/>
  <c r="EU23" i="2"/>
  <c r="HL23" i="2"/>
  <c r="HK23" i="2"/>
  <c r="BL23" i="2"/>
  <c r="BM23" i="2" s="1"/>
  <c r="EC24" i="2"/>
  <c r="EB24" i="2"/>
  <c r="ED24" i="2"/>
  <c r="EE24" i="2"/>
  <c r="EF24" i="2"/>
  <c r="EG24" i="2"/>
  <c r="EH24" i="2"/>
  <c r="EI24" i="2"/>
  <c r="EJ24" i="2"/>
  <c r="EK24" i="2"/>
  <c r="EL24" i="2"/>
  <c r="HL24" i="2"/>
  <c r="HK24" i="2"/>
  <c r="EC25" i="2"/>
  <c r="EB25" i="2"/>
  <c r="ED25" i="2"/>
  <c r="EE25" i="2"/>
  <c r="EF25" i="2"/>
  <c r="EG25" i="2"/>
  <c r="EH25" i="2"/>
  <c r="EI25" i="2"/>
  <c r="EJ25" i="2"/>
  <c r="EK25" i="2"/>
  <c r="EL25" i="2"/>
  <c r="HL25" i="2"/>
  <c r="BL25" i="2" s="1"/>
  <c r="BM25" i="2" s="1"/>
  <c r="HK25" i="2"/>
  <c r="EC26" i="2"/>
  <c r="EB26" i="2"/>
  <c r="ED26" i="2"/>
  <c r="EE26" i="2"/>
  <c r="EF26" i="2"/>
  <c r="EG26" i="2"/>
  <c r="EH26" i="2"/>
  <c r="EI26" i="2"/>
  <c r="EJ26" i="2"/>
  <c r="EK26" i="2"/>
  <c r="EL26" i="2"/>
  <c r="HL26" i="2"/>
  <c r="HK26" i="2"/>
  <c r="BL26" i="2"/>
  <c r="BM26" i="2"/>
  <c r="EC27" i="2"/>
  <c r="EB27" i="2"/>
  <c r="ED27" i="2"/>
  <c r="EE27" i="2"/>
  <c r="EF27" i="2"/>
  <c r="EG27" i="2"/>
  <c r="EH27" i="2"/>
  <c r="EI27" i="2"/>
  <c r="EU27" i="2" s="1"/>
  <c r="EJ27" i="2"/>
  <c r="EK27" i="2"/>
  <c r="EL27" i="2"/>
  <c r="EM27" i="2"/>
  <c r="EQ27" i="2"/>
  <c r="HL27" i="2"/>
  <c r="HK27" i="2"/>
  <c r="BL27" i="2"/>
  <c r="BM27" i="2" s="1"/>
  <c r="EC28" i="2"/>
  <c r="EB28" i="2"/>
  <c r="ED28" i="2"/>
  <c r="EE28" i="2"/>
  <c r="EF28" i="2"/>
  <c r="EG28" i="2"/>
  <c r="EH28" i="2"/>
  <c r="EI28" i="2"/>
  <c r="EJ28" i="2"/>
  <c r="EK28" i="2"/>
  <c r="EL28" i="2"/>
  <c r="HL28" i="2"/>
  <c r="BL28" i="2" s="1"/>
  <c r="BM28" i="2" s="1"/>
  <c r="HK28" i="2"/>
  <c r="EC29" i="2"/>
  <c r="EB29" i="2"/>
  <c r="ED29" i="2"/>
  <c r="EE29" i="2"/>
  <c r="EF29" i="2"/>
  <c r="EG29" i="2"/>
  <c r="EH29" i="2"/>
  <c r="EI29" i="2"/>
  <c r="EJ29" i="2"/>
  <c r="EK29" i="2"/>
  <c r="EL29" i="2"/>
  <c r="HL29" i="2"/>
  <c r="BL29" i="2" s="1"/>
  <c r="BM29" i="2" s="1"/>
  <c r="HK29" i="2"/>
  <c r="EC30" i="2"/>
  <c r="EB30" i="2"/>
  <c r="ED30" i="2"/>
  <c r="EE30" i="2"/>
  <c r="EF30" i="2"/>
  <c r="EG30" i="2"/>
  <c r="EH30" i="2"/>
  <c r="EI30" i="2"/>
  <c r="EJ30" i="2"/>
  <c r="EK30" i="2"/>
  <c r="EL30" i="2"/>
  <c r="HL30" i="2"/>
  <c r="HK30" i="2"/>
  <c r="BL30" i="2" s="1"/>
  <c r="BM30" i="2"/>
  <c r="EC31" i="2"/>
  <c r="EB31" i="2"/>
  <c r="ED31" i="2"/>
  <c r="EE31" i="2"/>
  <c r="EF31" i="2"/>
  <c r="EG31" i="2"/>
  <c r="EH31" i="2"/>
  <c r="EI31" i="2"/>
  <c r="EJ31" i="2"/>
  <c r="EK31" i="2"/>
  <c r="EL31" i="2"/>
  <c r="EM31" i="2"/>
  <c r="EU31" i="2"/>
  <c r="HL31" i="2"/>
  <c r="HK31" i="2"/>
  <c r="BL31" i="2"/>
  <c r="BM31" i="2" s="1"/>
  <c r="EC32" i="2"/>
  <c r="EB32" i="2"/>
  <c r="ED32" i="2"/>
  <c r="EE32" i="2"/>
  <c r="EF32" i="2"/>
  <c r="EG32" i="2"/>
  <c r="EH32" i="2"/>
  <c r="EI32" i="2"/>
  <c r="EJ32" i="2"/>
  <c r="EK32" i="2"/>
  <c r="EL32" i="2"/>
  <c r="HL32" i="2"/>
  <c r="BL32" i="2" s="1"/>
  <c r="BM32" i="2" s="1"/>
  <c r="HK32" i="2"/>
  <c r="EC33" i="2"/>
  <c r="EB33" i="2"/>
  <c r="ED33" i="2"/>
  <c r="EE33" i="2"/>
  <c r="EF33" i="2"/>
  <c r="EG33" i="2"/>
  <c r="EH33" i="2"/>
  <c r="EI33" i="2"/>
  <c r="EJ33" i="2"/>
  <c r="EK33" i="2"/>
  <c r="EL33" i="2"/>
  <c r="HL33" i="2"/>
  <c r="BL33" i="2" s="1"/>
  <c r="BM33" i="2" s="1"/>
  <c r="HK33" i="2"/>
  <c r="EC34" i="2"/>
  <c r="EB34" i="2"/>
  <c r="ED34" i="2"/>
  <c r="EE34" i="2"/>
  <c r="EF34" i="2"/>
  <c r="EG34" i="2"/>
  <c r="EH34" i="2"/>
  <c r="EI34" i="2"/>
  <c r="EJ34" i="2"/>
  <c r="EK34" i="2"/>
  <c r="EL34" i="2"/>
  <c r="HL34" i="2"/>
  <c r="HK34" i="2"/>
  <c r="BL34" i="2" s="1"/>
  <c r="BM34" i="2"/>
  <c r="EC35" i="2"/>
  <c r="EB35" i="2"/>
  <c r="ED35" i="2"/>
  <c r="EE35" i="2"/>
  <c r="EF35" i="2"/>
  <c r="EG35" i="2"/>
  <c r="EH35" i="2"/>
  <c r="EI35" i="2"/>
  <c r="EJ35" i="2"/>
  <c r="EK35" i="2"/>
  <c r="EL35" i="2"/>
  <c r="EM35" i="2"/>
  <c r="EU35" i="2"/>
  <c r="HL35" i="2"/>
  <c r="HK35" i="2"/>
  <c r="BL35" i="2"/>
  <c r="BM35" i="2" s="1"/>
  <c r="EC36" i="2"/>
  <c r="EB36" i="2"/>
  <c r="ED36" i="2"/>
  <c r="EE36" i="2"/>
  <c r="EF36" i="2"/>
  <c r="EG36" i="2"/>
  <c r="EH36" i="2"/>
  <c r="EI36" i="2"/>
  <c r="EJ36" i="2"/>
  <c r="EK36" i="2"/>
  <c r="EL36" i="2"/>
  <c r="HL36" i="2"/>
  <c r="BL36" i="2" s="1"/>
  <c r="BM36" i="2" s="1"/>
  <c r="HK36" i="2"/>
  <c r="EC37" i="2"/>
  <c r="EB37" i="2"/>
  <c r="ED37" i="2"/>
  <c r="EE37" i="2"/>
  <c r="EF37" i="2"/>
  <c r="EG37" i="2"/>
  <c r="EH37" i="2"/>
  <c r="EI37" i="2"/>
  <c r="EJ37" i="2"/>
  <c r="EK37" i="2"/>
  <c r="EL37" i="2"/>
  <c r="HL37" i="2"/>
  <c r="BL37" i="2" s="1"/>
  <c r="BM37" i="2" s="1"/>
  <c r="HK37" i="2"/>
  <c r="EC38" i="2"/>
  <c r="EB38" i="2"/>
  <c r="ED38" i="2"/>
  <c r="EE38" i="2"/>
  <c r="EF38" i="2"/>
  <c r="EG38" i="2"/>
  <c r="EH38" i="2"/>
  <c r="EI38" i="2"/>
  <c r="EJ38" i="2"/>
  <c r="EK38" i="2"/>
  <c r="EL38" i="2"/>
  <c r="HL38" i="2"/>
  <c r="HK38" i="2"/>
  <c r="BL38" i="2" s="1"/>
  <c r="BM38" i="2"/>
  <c r="EC39" i="2"/>
  <c r="EB39" i="2"/>
  <c r="ED39" i="2"/>
  <c r="EE39" i="2"/>
  <c r="EF39" i="2"/>
  <c r="EG39" i="2"/>
  <c r="EH39" i="2"/>
  <c r="EI39" i="2"/>
  <c r="EU39" i="2" s="1"/>
  <c r="EJ39" i="2"/>
  <c r="EK39" i="2"/>
  <c r="EL39" i="2"/>
  <c r="EM39" i="2"/>
  <c r="HL39" i="2"/>
  <c r="HK39" i="2"/>
  <c r="BL39" i="2"/>
  <c r="BM39" i="2" s="1"/>
  <c r="EC40" i="2"/>
  <c r="EB40" i="2"/>
  <c r="ED40" i="2"/>
  <c r="EE40" i="2"/>
  <c r="EF40" i="2"/>
  <c r="EG40" i="2"/>
  <c r="EH40" i="2"/>
  <c r="EI40" i="2"/>
  <c r="EJ40" i="2"/>
  <c r="EK40" i="2"/>
  <c r="EL40" i="2"/>
  <c r="HL40" i="2"/>
  <c r="BL40" i="2" s="1"/>
  <c r="BM40" i="2" s="1"/>
  <c r="HK40" i="2"/>
  <c r="HL8" i="2"/>
  <c r="HK8" i="2"/>
  <c r="EB8" i="2"/>
  <c r="EC8" i="2"/>
  <c r="EM8" i="2" s="1"/>
  <c r="ED8" i="2"/>
  <c r="EE8" i="2"/>
  <c r="EF8" i="2"/>
  <c r="EG8" i="2"/>
  <c r="EH8" i="2"/>
  <c r="EI8" i="2"/>
  <c r="EJ8" i="2"/>
  <c r="EK8" i="2"/>
  <c r="EL8" i="2"/>
  <c r="O15" i="6"/>
  <c r="Z15" i="6"/>
  <c r="B17" i="6"/>
  <c r="Q15" i="6" s="1"/>
  <c r="R15" i="6" s="1"/>
  <c r="R25" i="6"/>
  <c r="S25" i="6"/>
  <c r="U25" i="6"/>
  <c r="W25" i="6"/>
  <c r="X25" i="6"/>
  <c r="Y25" i="6"/>
  <c r="Z25" i="6"/>
  <c r="AA25" i="6"/>
  <c r="B18" i="6"/>
  <c r="B19" i="6"/>
  <c r="S11" i="6"/>
  <c r="W15" i="6"/>
  <c r="K41" i="3"/>
  <c r="N41" i="3"/>
  <c r="L6" i="3"/>
  <c r="L41" i="3"/>
  <c r="M41" i="3" s="1"/>
  <c r="F41" i="3"/>
  <c r="I41" i="3" s="1"/>
  <c r="G6" i="3"/>
  <c r="D41" i="3"/>
  <c r="B41" i="3"/>
  <c r="C41" i="3" s="1"/>
  <c r="K40" i="3"/>
  <c r="F40" i="3"/>
  <c r="I40" i="3" s="1"/>
  <c r="D40" i="3"/>
  <c r="B40" i="3"/>
  <c r="C40" i="3"/>
  <c r="K39" i="3"/>
  <c r="N39" i="3"/>
  <c r="L39" i="3"/>
  <c r="M39" i="3"/>
  <c r="F39" i="3"/>
  <c r="I39" i="3"/>
  <c r="D39" i="3"/>
  <c r="B39" i="3"/>
  <c r="C39" i="3" s="1"/>
  <c r="K38" i="3"/>
  <c r="F38" i="3"/>
  <c r="I38" i="3" s="1"/>
  <c r="D38" i="3"/>
  <c r="B38" i="3"/>
  <c r="C38" i="3"/>
  <c r="K37" i="3"/>
  <c r="N37" i="3"/>
  <c r="F37" i="3"/>
  <c r="I37" i="3" s="1"/>
  <c r="D37" i="3"/>
  <c r="B37" i="3"/>
  <c r="C37" i="3" s="1"/>
  <c r="K36" i="3"/>
  <c r="L36" i="3" s="1"/>
  <c r="M36" i="3" s="1"/>
  <c r="N36" i="3"/>
  <c r="F36" i="3"/>
  <c r="I36" i="3" s="1"/>
  <c r="D36" i="3"/>
  <c r="B36" i="3"/>
  <c r="C36" i="3" s="1"/>
  <c r="K35" i="3"/>
  <c r="N35" i="3"/>
  <c r="L35" i="3"/>
  <c r="M35" i="3" s="1"/>
  <c r="F35" i="3"/>
  <c r="I35" i="3"/>
  <c r="D35" i="3"/>
  <c r="B35" i="3"/>
  <c r="C35" i="3"/>
  <c r="K34" i="3"/>
  <c r="N34" i="3" s="1"/>
  <c r="L34" i="3"/>
  <c r="M34" i="3" s="1"/>
  <c r="F34" i="3"/>
  <c r="I34" i="3" s="1"/>
  <c r="D34" i="3"/>
  <c r="B34" i="3"/>
  <c r="C34" i="3"/>
  <c r="K33" i="3"/>
  <c r="N33" i="3" s="1"/>
  <c r="F33" i="3"/>
  <c r="I33" i="3"/>
  <c r="D33" i="3"/>
  <c r="B33" i="3"/>
  <c r="C33" i="3" s="1"/>
  <c r="K32" i="3"/>
  <c r="F32" i="3"/>
  <c r="I32" i="3"/>
  <c r="D32" i="3"/>
  <c r="B32" i="3"/>
  <c r="C32" i="3"/>
  <c r="K31" i="3"/>
  <c r="N31" i="3"/>
  <c r="L31" i="3"/>
  <c r="M31" i="3"/>
  <c r="F31" i="3"/>
  <c r="I31" i="3"/>
  <c r="D31" i="3"/>
  <c r="B31" i="3"/>
  <c r="C31" i="3" s="1"/>
  <c r="K30" i="3"/>
  <c r="F30" i="3"/>
  <c r="I30" i="3" s="1"/>
  <c r="D30" i="3"/>
  <c r="B30" i="3"/>
  <c r="C30" i="3"/>
  <c r="K29" i="3"/>
  <c r="N29" i="3"/>
  <c r="F29" i="3"/>
  <c r="I29" i="3" s="1"/>
  <c r="D29" i="3"/>
  <c r="B29" i="3"/>
  <c r="C29" i="3" s="1"/>
  <c r="K28" i="3"/>
  <c r="N28" i="3"/>
  <c r="L28" i="3"/>
  <c r="M28" i="3" s="1"/>
  <c r="F28" i="3"/>
  <c r="I28" i="3" s="1"/>
  <c r="D28" i="3"/>
  <c r="B28" i="3"/>
  <c r="C28" i="3" s="1"/>
  <c r="K27" i="3"/>
  <c r="N27" i="3"/>
  <c r="L27" i="3"/>
  <c r="M27" i="3" s="1"/>
  <c r="F27" i="3"/>
  <c r="I27" i="3"/>
  <c r="D27" i="3"/>
  <c r="B27" i="3"/>
  <c r="C27" i="3"/>
  <c r="K26" i="3"/>
  <c r="N26" i="3" s="1"/>
  <c r="L26" i="3"/>
  <c r="M26" i="3" s="1"/>
  <c r="F26" i="3"/>
  <c r="I26" i="3" s="1"/>
  <c r="D26" i="3"/>
  <c r="B26" i="3"/>
  <c r="C26" i="3"/>
  <c r="K25" i="3"/>
  <c r="N25" i="3" s="1"/>
  <c r="F25" i="3"/>
  <c r="I25" i="3"/>
  <c r="D25" i="3"/>
  <c r="B25" i="3"/>
  <c r="C25" i="3" s="1"/>
  <c r="K24" i="3"/>
  <c r="N24" i="3" s="1"/>
  <c r="L24" i="3"/>
  <c r="M24" i="3" s="1"/>
  <c r="F24" i="3"/>
  <c r="I24" i="3"/>
  <c r="D24" i="3"/>
  <c r="B24" i="3"/>
  <c r="C24" i="3"/>
  <c r="K23" i="3"/>
  <c r="N23" i="3"/>
  <c r="L23" i="3"/>
  <c r="M23" i="3"/>
  <c r="F23" i="3"/>
  <c r="I23" i="3"/>
  <c r="D23" i="3"/>
  <c r="B23" i="3"/>
  <c r="C23" i="3" s="1"/>
  <c r="K22" i="3"/>
  <c r="N22" i="3" s="1"/>
  <c r="F22" i="3"/>
  <c r="I22" i="3" s="1"/>
  <c r="D22" i="3"/>
  <c r="B22" i="3"/>
  <c r="C22" i="3"/>
  <c r="K21" i="3"/>
  <c r="N21" i="3"/>
  <c r="F21" i="3"/>
  <c r="I21" i="3" s="1"/>
  <c r="D21" i="3"/>
  <c r="B21" i="3"/>
  <c r="C21" i="3" s="1"/>
  <c r="K20" i="3"/>
  <c r="L20" i="3" s="1"/>
  <c r="M20" i="3" s="1"/>
  <c r="N20" i="3"/>
  <c r="F20" i="3"/>
  <c r="I20" i="3" s="1"/>
  <c r="G20" i="3"/>
  <c r="H20" i="3" s="1"/>
  <c r="D20" i="3"/>
  <c r="B20" i="3"/>
  <c r="C20" i="3" s="1"/>
  <c r="K19" i="3"/>
  <c r="N19" i="3"/>
  <c r="L19" i="3"/>
  <c r="M19" i="3" s="1"/>
  <c r="F19" i="3"/>
  <c r="I19" i="3"/>
  <c r="D19" i="3"/>
  <c r="B19" i="3"/>
  <c r="C19" i="3"/>
  <c r="K18" i="3"/>
  <c r="N18" i="3" s="1"/>
  <c r="L18" i="3"/>
  <c r="M18" i="3" s="1"/>
  <c r="F18" i="3"/>
  <c r="I18" i="3" s="1"/>
  <c r="D18" i="3"/>
  <c r="B18" i="3"/>
  <c r="C18" i="3"/>
  <c r="K17" i="3"/>
  <c r="N17" i="3" s="1"/>
  <c r="F17" i="3"/>
  <c r="I17" i="3"/>
  <c r="D17" i="3"/>
  <c r="B17" i="3"/>
  <c r="C17" i="3" s="1"/>
  <c r="K16" i="3"/>
  <c r="F16" i="3"/>
  <c r="I16" i="3"/>
  <c r="D16" i="3"/>
  <c r="B16" i="3"/>
  <c r="C16" i="3"/>
  <c r="K15" i="3"/>
  <c r="N15" i="3"/>
  <c r="L15" i="3"/>
  <c r="M15" i="3"/>
  <c r="F15" i="3"/>
  <c r="I15" i="3"/>
  <c r="D15" i="3"/>
  <c r="B15" i="3"/>
  <c r="C15" i="3" s="1"/>
  <c r="K14" i="3"/>
  <c r="F14" i="3"/>
  <c r="I14" i="3" s="1"/>
  <c r="G14" i="3"/>
  <c r="H14" i="3" s="1"/>
  <c r="D14" i="3"/>
  <c r="B14" i="3"/>
  <c r="C14" i="3"/>
  <c r="K13" i="3"/>
  <c r="N13" i="3"/>
  <c r="F13" i="3"/>
  <c r="I13" i="3" s="1"/>
  <c r="D13" i="3"/>
  <c r="B13" i="3"/>
  <c r="C13" i="3" s="1"/>
  <c r="K12" i="3"/>
  <c r="N12" i="3"/>
  <c r="L12" i="3"/>
  <c r="M12" i="3" s="1"/>
  <c r="F12" i="3"/>
  <c r="I12" i="3" s="1"/>
  <c r="D12" i="3"/>
  <c r="B12" i="3"/>
  <c r="C12" i="3" s="1"/>
  <c r="K11" i="3"/>
  <c r="N11" i="3"/>
  <c r="L11" i="3"/>
  <c r="M11" i="3" s="1"/>
  <c r="F11" i="3"/>
  <c r="I11" i="3"/>
  <c r="G11" i="3"/>
  <c r="H11" i="3" s="1"/>
  <c r="D11" i="3"/>
  <c r="B11" i="3"/>
  <c r="C11" i="3"/>
  <c r="K10" i="3"/>
  <c r="N10" i="3" s="1"/>
  <c r="L10" i="3"/>
  <c r="M10" i="3" s="1"/>
  <c r="F10" i="3"/>
  <c r="I10" i="3" s="1"/>
  <c r="D10" i="3"/>
  <c r="B10" i="3"/>
  <c r="C10" i="3"/>
  <c r="R40" i="1"/>
  <c r="AM40" i="1"/>
  <c r="T40" i="1"/>
  <c r="FR40" i="1"/>
  <c r="FU40" i="1"/>
  <c r="DE40" i="1"/>
  <c r="BD40" i="1"/>
  <c r="BH40" i="1"/>
  <c r="BI40" i="1"/>
  <c r="CN40" i="1"/>
  <c r="DQ40" i="1"/>
  <c r="DX40" i="1"/>
  <c r="GC40" i="1"/>
  <c r="DI37" i="2"/>
  <c r="BY37" i="2"/>
  <c r="BU37" i="2"/>
  <c r="BV37" i="2"/>
  <c r="BW37" i="2"/>
  <c r="BX37" i="2"/>
  <c r="BZ37" i="2"/>
  <c r="CA37" i="2"/>
  <c r="CB37" i="2"/>
  <c r="CC37" i="2"/>
  <c r="CD37" i="2"/>
  <c r="CE37" i="2"/>
  <c r="R37" i="2"/>
  <c r="FR37" i="2"/>
  <c r="FU37" i="2"/>
  <c r="BD37" i="2"/>
  <c r="DI38" i="2"/>
  <c r="BY38" i="2"/>
  <c r="BU38" i="2"/>
  <c r="BV38" i="2"/>
  <c r="BW38" i="2"/>
  <c r="BX38" i="2"/>
  <c r="BZ38" i="2"/>
  <c r="CA38" i="2"/>
  <c r="CB38" i="2"/>
  <c r="CC38" i="2"/>
  <c r="CD38" i="2"/>
  <c r="CE38" i="2"/>
  <c r="R38" i="2"/>
  <c r="FR38" i="2"/>
  <c r="FU38" i="2"/>
  <c r="BD38" i="2"/>
  <c r="DI39" i="2"/>
  <c r="BY39" i="2"/>
  <c r="BU39" i="2"/>
  <c r="BV39" i="2"/>
  <c r="BW39" i="2"/>
  <c r="BX39" i="2"/>
  <c r="BZ39" i="2"/>
  <c r="CA39" i="2"/>
  <c r="CB39" i="2"/>
  <c r="CC39" i="2"/>
  <c r="CD39" i="2"/>
  <c r="CE39" i="2"/>
  <c r="R39" i="2"/>
  <c r="FR39" i="2"/>
  <c r="FU39" i="2"/>
  <c r="BD39" i="2"/>
  <c r="DI40" i="2"/>
  <c r="BY40" i="2"/>
  <c r="BU40" i="2"/>
  <c r="BV40" i="2"/>
  <c r="BW40" i="2"/>
  <c r="BX40" i="2"/>
  <c r="BZ40" i="2"/>
  <c r="CA40" i="2"/>
  <c r="CB40" i="2"/>
  <c r="CC40" i="2"/>
  <c r="CD40" i="2"/>
  <c r="CE40" i="2"/>
  <c r="R40" i="2"/>
  <c r="FR40" i="2"/>
  <c r="FU40" i="2"/>
  <c r="BD40" i="2"/>
  <c r="DI35" i="2"/>
  <c r="BY35" i="2"/>
  <c r="BU35" i="2"/>
  <c r="BV35" i="2"/>
  <c r="BW35" i="2"/>
  <c r="BX35" i="2"/>
  <c r="BZ35" i="2"/>
  <c r="CA35" i="2"/>
  <c r="CB35" i="2"/>
  <c r="CC35" i="2"/>
  <c r="CD35" i="2"/>
  <c r="CE35" i="2"/>
  <c r="R35" i="2"/>
  <c r="FR35" i="2"/>
  <c r="FU35" i="2"/>
  <c r="BD35" i="2"/>
  <c r="DI36" i="2"/>
  <c r="BY36" i="2"/>
  <c r="BU36" i="2"/>
  <c r="BV36" i="2"/>
  <c r="BW36" i="2"/>
  <c r="BX36" i="2"/>
  <c r="BZ36" i="2"/>
  <c r="CA36" i="2"/>
  <c r="CB36" i="2"/>
  <c r="CC36" i="2"/>
  <c r="CD36" i="2"/>
  <c r="CE36" i="2"/>
  <c r="R36" i="2"/>
  <c r="FR36" i="2"/>
  <c r="FU36" i="2"/>
  <c r="BD36" i="2"/>
  <c r="BY28" i="2"/>
  <c r="BU28" i="2"/>
  <c r="BV28" i="2"/>
  <c r="BW28" i="2"/>
  <c r="BX28" i="2"/>
  <c r="BZ28" i="2"/>
  <c r="CL28" i="2" s="1"/>
  <c r="CA28" i="2"/>
  <c r="CB28" i="2"/>
  <c r="CC28" i="2"/>
  <c r="CD28" i="2"/>
  <c r="CE28" i="2"/>
  <c r="CF28" i="2"/>
  <c r="CO28" i="2" s="1"/>
  <c r="BY29" i="2"/>
  <c r="BU29" i="2"/>
  <c r="BV29" i="2"/>
  <c r="BW29" i="2"/>
  <c r="BX29" i="2"/>
  <c r="BZ29" i="2"/>
  <c r="CL29" i="2" s="1"/>
  <c r="CA29" i="2"/>
  <c r="CB29" i="2"/>
  <c r="CC29" i="2"/>
  <c r="CD29" i="2"/>
  <c r="CE29" i="2"/>
  <c r="CF29" i="2"/>
  <c r="BY30" i="2"/>
  <c r="BU30" i="2"/>
  <c r="BV30" i="2"/>
  <c r="BW30" i="2"/>
  <c r="BX30" i="2"/>
  <c r="BZ30" i="2"/>
  <c r="CA30" i="2"/>
  <c r="CB30" i="2"/>
  <c r="CC30" i="2"/>
  <c r="CD30" i="2"/>
  <c r="CE30" i="2"/>
  <c r="CF30" i="2"/>
  <c r="BY31" i="2"/>
  <c r="BU31" i="2"/>
  <c r="BV31" i="2"/>
  <c r="BW31" i="2"/>
  <c r="BX31" i="2"/>
  <c r="BZ31" i="2"/>
  <c r="CA31" i="2"/>
  <c r="CB31" i="2"/>
  <c r="CC31" i="2"/>
  <c r="CD31" i="2"/>
  <c r="CE31" i="2"/>
  <c r="CF31" i="2"/>
  <c r="BY32" i="2"/>
  <c r="BU32" i="2"/>
  <c r="BV32" i="2"/>
  <c r="BW32" i="2"/>
  <c r="BX32" i="2"/>
  <c r="BZ32" i="2"/>
  <c r="CL32" i="2" s="1"/>
  <c r="CA32" i="2"/>
  <c r="CB32" i="2"/>
  <c r="CC32" i="2"/>
  <c r="CD32" i="2"/>
  <c r="CE32" i="2"/>
  <c r="CF32" i="2"/>
  <c r="CO32" i="2" s="1"/>
  <c r="BY33" i="2"/>
  <c r="BU33" i="2"/>
  <c r="BV33" i="2"/>
  <c r="BW33" i="2"/>
  <c r="BX33" i="2"/>
  <c r="BZ33" i="2"/>
  <c r="CL33" i="2" s="1"/>
  <c r="CA33" i="2"/>
  <c r="CB33" i="2"/>
  <c r="CC33" i="2"/>
  <c r="CD33" i="2"/>
  <c r="CE33" i="2"/>
  <c r="CF33" i="2"/>
  <c r="BY34" i="2"/>
  <c r="BU34" i="2"/>
  <c r="BV34" i="2"/>
  <c r="BW34" i="2"/>
  <c r="BX34" i="2"/>
  <c r="BZ34" i="2"/>
  <c r="CA34" i="2"/>
  <c r="CB34" i="2"/>
  <c r="CC34" i="2"/>
  <c r="CD34" i="2"/>
  <c r="CE34" i="2"/>
  <c r="CF34" i="2"/>
  <c r="CG28" i="2"/>
  <c r="CG29" i="2"/>
  <c r="CG32" i="2"/>
  <c r="CG33" i="2"/>
  <c r="R28" i="2"/>
  <c r="FR28" i="2"/>
  <c r="FU28" i="2"/>
  <c r="DI28" i="2"/>
  <c r="DO28" i="2"/>
  <c r="BD28" i="2"/>
  <c r="R29" i="2"/>
  <c r="FR29" i="2"/>
  <c r="FU29" i="2" s="1"/>
  <c r="DA29" i="2"/>
  <c r="DI29" i="2"/>
  <c r="BD29" i="2"/>
  <c r="CP29" i="2"/>
  <c r="R30" i="2"/>
  <c r="FR30" i="2"/>
  <c r="FU30" i="2"/>
  <c r="DI30" i="2"/>
  <c r="BD30" i="2"/>
  <c r="CQ30" i="2"/>
  <c r="R31" i="2"/>
  <c r="FR31" i="2"/>
  <c r="FU31" i="2" s="1"/>
  <c r="DI31" i="2"/>
  <c r="BD31" i="2"/>
  <c r="R32" i="2"/>
  <c r="FR32" i="2"/>
  <c r="FU32" i="2"/>
  <c r="DI32" i="2"/>
  <c r="BD32" i="2"/>
  <c r="R34" i="2"/>
  <c r="FR34" i="2"/>
  <c r="FU34" i="2" s="1"/>
  <c r="DI34" i="2"/>
  <c r="BD34" i="2"/>
  <c r="R33" i="2"/>
  <c r="FR33" i="2"/>
  <c r="FU33" i="2"/>
  <c r="DI33" i="2"/>
  <c r="BD33" i="2"/>
  <c r="CQ33" i="2"/>
  <c r="DI27" i="2"/>
  <c r="BY27" i="2"/>
  <c r="BU27" i="2"/>
  <c r="BV27" i="2"/>
  <c r="BW27" i="2"/>
  <c r="BX27" i="2"/>
  <c r="BZ27" i="2"/>
  <c r="CA27" i="2"/>
  <c r="CB27" i="2"/>
  <c r="CC27" i="2"/>
  <c r="CD27" i="2"/>
  <c r="CE27" i="2"/>
  <c r="DI21" i="2"/>
  <c r="BY21" i="2"/>
  <c r="BU21" i="2"/>
  <c r="BV21" i="2"/>
  <c r="BW21" i="2"/>
  <c r="BX21" i="2"/>
  <c r="BZ21" i="2"/>
  <c r="CA21" i="2"/>
  <c r="CB21" i="2"/>
  <c r="CC21" i="2"/>
  <c r="CD21" i="2"/>
  <c r="CE21" i="2"/>
  <c r="DI22" i="2"/>
  <c r="BY22" i="2"/>
  <c r="BU22" i="2"/>
  <c r="BV22" i="2"/>
  <c r="BW22" i="2"/>
  <c r="BX22" i="2"/>
  <c r="BZ22" i="2"/>
  <c r="CA22" i="2"/>
  <c r="CB22" i="2"/>
  <c r="CC22" i="2"/>
  <c r="CD22" i="2"/>
  <c r="CE22" i="2"/>
  <c r="DI23" i="2"/>
  <c r="BY23" i="2"/>
  <c r="BU23" i="2"/>
  <c r="BV23" i="2"/>
  <c r="BW23" i="2"/>
  <c r="BX23" i="2"/>
  <c r="BZ23" i="2"/>
  <c r="CA23" i="2"/>
  <c r="CB23" i="2"/>
  <c r="CC23" i="2"/>
  <c r="CD23" i="2"/>
  <c r="CE23" i="2"/>
  <c r="DI24" i="2"/>
  <c r="BY24" i="2"/>
  <c r="BU24" i="2"/>
  <c r="BV24" i="2"/>
  <c r="BW24" i="2"/>
  <c r="BX24" i="2"/>
  <c r="BZ24" i="2"/>
  <c r="CA24" i="2"/>
  <c r="CB24" i="2"/>
  <c r="CC24" i="2"/>
  <c r="CD24" i="2"/>
  <c r="CE24" i="2"/>
  <c r="DI25" i="2"/>
  <c r="BY25" i="2"/>
  <c r="BU25" i="2"/>
  <c r="BV25" i="2"/>
  <c r="BW25" i="2"/>
  <c r="BX25" i="2"/>
  <c r="BZ25" i="2"/>
  <c r="CA25" i="2"/>
  <c r="CB25" i="2"/>
  <c r="CC25" i="2"/>
  <c r="CD25" i="2"/>
  <c r="CE25" i="2"/>
  <c r="DI26" i="2"/>
  <c r="BY26" i="2"/>
  <c r="BU26" i="2"/>
  <c r="BV26" i="2"/>
  <c r="BW26" i="2"/>
  <c r="BX26" i="2"/>
  <c r="BZ26" i="2"/>
  <c r="CA26" i="2"/>
  <c r="CB26" i="2"/>
  <c r="CC26" i="2"/>
  <c r="CD26" i="2"/>
  <c r="CE26" i="2"/>
  <c r="R26" i="2"/>
  <c r="FR26" i="2"/>
  <c r="FU26" i="2"/>
  <c r="BD26" i="2"/>
  <c r="R27" i="2"/>
  <c r="FR27" i="2"/>
  <c r="FU27" i="2"/>
  <c r="BD27" i="2"/>
  <c r="EX27" i="2"/>
  <c r="R23" i="2"/>
  <c r="FR23" i="2"/>
  <c r="FU23" i="2"/>
  <c r="BD23" i="2"/>
  <c r="EX23" i="2"/>
  <c r="R24" i="2"/>
  <c r="FR24" i="2"/>
  <c r="FU24" i="2" s="1"/>
  <c r="BD24" i="2"/>
  <c r="R25" i="2"/>
  <c r="FR25" i="2"/>
  <c r="FU25" i="2" s="1"/>
  <c r="BD25" i="2"/>
  <c r="R21" i="2"/>
  <c r="FR21" i="2"/>
  <c r="FU21" i="2" s="1"/>
  <c r="BD21" i="2"/>
  <c r="R22" i="2"/>
  <c r="FR22" i="2"/>
  <c r="FU22" i="2" s="1"/>
  <c r="BD22" i="2"/>
  <c r="BD9" i="2"/>
  <c r="BD10" i="2"/>
  <c r="BD11" i="2"/>
  <c r="BD12" i="2"/>
  <c r="BD13" i="2"/>
  <c r="BD14" i="2"/>
  <c r="BD15" i="2"/>
  <c r="BD16" i="2"/>
  <c r="BD17" i="2"/>
  <c r="BD18" i="2"/>
  <c r="BD19" i="2"/>
  <c r="BD20" i="2"/>
  <c r="BD8" i="2"/>
  <c r="BH9" i="1"/>
  <c r="BI9" i="1"/>
  <c r="BH10" i="1"/>
  <c r="BI10" i="1"/>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I8" i="1"/>
  <c r="BH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8" i="1"/>
  <c r="R21" i="1"/>
  <c r="AM21" i="1"/>
  <c r="T21" i="1" s="1"/>
  <c r="FR21" i="1"/>
  <c r="FU21" i="1" s="1"/>
  <c r="DE21" i="1"/>
  <c r="DQ21" i="1"/>
  <c r="DX21" i="1"/>
  <c r="EX21" i="1"/>
  <c r="GC21" i="1"/>
  <c r="R22" i="1"/>
  <c r="AM22" i="1"/>
  <c r="T22" i="1" s="1"/>
  <c r="FR22" i="1"/>
  <c r="FU22" i="1"/>
  <c r="DE22" i="1"/>
  <c r="CN22" i="1"/>
  <c r="CO22" i="1"/>
  <c r="CP22" i="1"/>
  <c r="CQ22" i="1"/>
  <c r="DQ22" i="1"/>
  <c r="DX22" i="1"/>
  <c r="GC22" i="1"/>
  <c r="R23" i="1"/>
  <c r="AM23" i="1"/>
  <c r="T23" i="1" s="1"/>
  <c r="FR23" i="1"/>
  <c r="FU23" i="1" s="1"/>
  <c r="DE23" i="1"/>
  <c r="CN23" i="1"/>
  <c r="CO23" i="1"/>
  <c r="CP23" i="1"/>
  <c r="CQ23" i="1"/>
  <c r="DO23" i="1"/>
  <c r="DQ23" i="1"/>
  <c r="DX23" i="1"/>
  <c r="GC23" i="1"/>
  <c r="R24" i="1"/>
  <c r="AM24" i="1"/>
  <c r="T24" i="1" s="1"/>
  <c r="FR24" i="1"/>
  <c r="FU24" i="1"/>
  <c r="DE24" i="1"/>
  <c r="DQ24" i="1"/>
  <c r="DX24" i="1"/>
  <c r="EX24" i="1"/>
  <c r="GC24" i="1"/>
  <c r="R25" i="1"/>
  <c r="AM25" i="1"/>
  <c r="T25" i="1" s="1"/>
  <c r="FR25" i="1"/>
  <c r="FU25" i="1" s="1"/>
  <c r="DE25" i="1"/>
  <c r="DQ25" i="1"/>
  <c r="DX25" i="1"/>
  <c r="GC25" i="1"/>
  <c r="R26" i="1"/>
  <c r="AM26" i="1"/>
  <c r="T26" i="1" s="1"/>
  <c r="FR26" i="1"/>
  <c r="FU26" i="1" s="1"/>
  <c r="DE26" i="1"/>
  <c r="CN26" i="1"/>
  <c r="CO26" i="1"/>
  <c r="CP26" i="1"/>
  <c r="CQ26" i="1"/>
  <c r="DQ26" i="1"/>
  <c r="DX26" i="1"/>
  <c r="GC26" i="1"/>
  <c r="R27" i="1"/>
  <c r="AM27" i="1"/>
  <c r="T27" i="1"/>
  <c r="FR27" i="1"/>
  <c r="FU27" i="1"/>
  <c r="DE27" i="1"/>
  <c r="CN27" i="1"/>
  <c r="CO27" i="1"/>
  <c r="CP27" i="1"/>
  <c r="CQ27" i="1"/>
  <c r="DO27" i="1"/>
  <c r="DQ27" i="1"/>
  <c r="DX27" i="1"/>
  <c r="GC27" i="1"/>
  <c r="R28" i="1"/>
  <c r="AM28" i="1"/>
  <c r="T28" i="1" s="1"/>
  <c r="FR28" i="1"/>
  <c r="FU28" i="1" s="1"/>
  <c r="DE28" i="1"/>
  <c r="DQ28" i="1"/>
  <c r="DX28" i="1"/>
  <c r="EX28" i="1"/>
  <c r="GC28" i="1"/>
  <c r="R29" i="1"/>
  <c r="AM29" i="1"/>
  <c r="T29" i="1"/>
  <c r="FR29" i="1"/>
  <c r="FU29" i="1"/>
  <c r="DE29" i="1"/>
  <c r="DQ29" i="1"/>
  <c r="DX29" i="1"/>
  <c r="EX29" i="1"/>
  <c r="GC29" i="1"/>
  <c r="R30" i="1"/>
  <c r="AM30" i="1"/>
  <c r="T30" i="1" s="1"/>
  <c r="FR30" i="1"/>
  <c r="FU30" i="1" s="1"/>
  <c r="DE30" i="1"/>
  <c r="CN30" i="1"/>
  <c r="CO30" i="1"/>
  <c r="CP30" i="1"/>
  <c r="CQ30" i="1"/>
  <c r="DQ30" i="1"/>
  <c r="DX30" i="1"/>
  <c r="EX30" i="1"/>
  <c r="GC30" i="1"/>
  <c r="R31" i="1"/>
  <c r="AM31" i="1"/>
  <c r="T31" i="1"/>
  <c r="FR31" i="1"/>
  <c r="FU31" i="1"/>
  <c r="DE31" i="1"/>
  <c r="DQ31" i="1"/>
  <c r="DX31" i="1"/>
  <c r="EX31" i="1"/>
  <c r="GC31" i="1"/>
  <c r="R32" i="1"/>
  <c r="AM32" i="1"/>
  <c r="T32" i="1" s="1"/>
  <c r="FR32" i="1"/>
  <c r="FU32" i="1" s="1"/>
  <c r="DE32" i="1"/>
  <c r="DQ32" i="1"/>
  <c r="DX32" i="1"/>
  <c r="GC32" i="1"/>
  <c r="R33" i="1"/>
  <c r="AM33" i="1"/>
  <c r="T33" i="1"/>
  <c r="FR33" i="1"/>
  <c r="FU33" i="1"/>
  <c r="DE33" i="1"/>
  <c r="CN33" i="1"/>
  <c r="CO33" i="1"/>
  <c r="CP33" i="1"/>
  <c r="CQ33" i="1"/>
  <c r="DO33" i="1"/>
  <c r="DQ33" i="1"/>
  <c r="DX33" i="1"/>
  <c r="EX33" i="1"/>
  <c r="GC33" i="1"/>
  <c r="R34" i="1"/>
  <c r="AM34" i="1"/>
  <c r="T34" i="1" s="1"/>
  <c r="FR34" i="1"/>
  <c r="FU34" i="1" s="1"/>
  <c r="DE34" i="1"/>
  <c r="DQ34" i="1"/>
  <c r="DX34" i="1"/>
  <c r="EX34" i="1"/>
  <c r="GC34" i="1"/>
  <c r="R35" i="1"/>
  <c r="AM35" i="1"/>
  <c r="T35" i="1"/>
  <c r="FR35" i="1"/>
  <c r="FU35" i="1"/>
  <c r="DE35" i="1"/>
  <c r="DQ35" i="1"/>
  <c r="DX35" i="1"/>
  <c r="GC35" i="1"/>
  <c r="R36" i="1"/>
  <c r="AM36" i="1"/>
  <c r="T36" i="1" s="1"/>
  <c r="FR36" i="1"/>
  <c r="FU36" i="1" s="1"/>
  <c r="DE36" i="1"/>
  <c r="CN36" i="1"/>
  <c r="CO36" i="1"/>
  <c r="CP36" i="1"/>
  <c r="CQ36" i="1"/>
  <c r="DQ36" i="1"/>
  <c r="DX36" i="1"/>
  <c r="GC36" i="1"/>
  <c r="R37" i="1"/>
  <c r="AM37" i="1"/>
  <c r="T37" i="1"/>
  <c r="FR37" i="1"/>
  <c r="FU37" i="1"/>
  <c r="DE37" i="1"/>
  <c r="CN37" i="1"/>
  <c r="CO37" i="1"/>
  <c r="CP37" i="1"/>
  <c r="CQ37" i="1"/>
  <c r="DO37" i="1"/>
  <c r="DQ37" i="1"/>
  <c r="DX37" i="1"/>
  <c r="EX37" i="1"/>
  <c r="GC37" i="1"/>
  <c r="R38" i="1"/>
  <c r="AM38" i="1"/>
  <c r="T38" i="1" s="1"/>
  <c r="FR38" i="1"/>
  <c r="FU38" i="1" s="1"/>
  <c r="DE38" i="1"/>
  <c r="DQ38" i="1"/>
  <c r="DX38" i="1"/>
  <c r="EX38" i="1"/>
  <c r="GC38" i="1"/>
  <c r="R39" i="1"/>
  <c r="AM39" i="1"/>
  <c r="T39" i="1"/>
  <c r="FR39" i="1"/>
  <c r="FU39" i="1"/>
  <c r="DE39" i="1"/>
  <c r="DQ39" i="1"/>
  <c r="DX39" i="1"/>
  <c r="GC39" i="1"/>
  <c r="AM9" i="1"/>
  <c r="T9" i="1"/>
  <c r="AM10" i="1"/>
  <c r="T10" i="1" s="1"/>
  <c r="AM11" i="1"/>
  <c r="T11" i="1"/>
  <c r="AM12" i="1"/>
  <c r="T12" i="1" s="1"/>
  <c r="AM13" i="1"/>
  <c r="T13" i="1"/>
  <c r="AM14" i="1"/>
  <c r="T14" i="1" s="1"/>
  <c r="AM15" i="1"/>
  <c r="T15" i="1"/>
  <c r="AM16" i="1"/>
  <c r="T16" i="1" s="1"/>
  <c r="AM17" i="1"/>
  <c r="T17" i="1"/>
  <c r="AM18" i="1"/>
  <c r="T18" i="1" s="1"/>
  <c r="AM19" i="1"/>
  <c r="T19" i="1"/>
  <c r="AM20" i="1"/>
  <c r="T20" i="1" s="1"/>
  <c r="AM8" i="1"/>
  <c r="T8" i="1"/>
  <c r="FR20" i="1"/>
  <c r="FU20" i="1" s="1"/>
  <c r="CN20" i="1"/>
  <c r="CO20" i="1"/>
  <c r="CP20" i="1"/>
  <c r="CQ20" i="1"/>
  <c r="R20" i="1"/>
  <c r="FR19" i="1"/>
  <c r="FU19" i="1" s="1"/>
  <c r="R19" i="1"/>
  <c r="FR18" i="1"/>
  <c r="FU18" i="1"/>
  <c r="EX18" i="1"/>
  <c r="R18" i="1"/>
  <c r="FR17" i="1"/>
  <c r="FU17" i="1"/>
  <c r="CN17" i="1"/>
  <c r="CO17" i="1"/>
  <c r="CP17" i="1"/>
  <c r="CQ17" i="1"/>
  <c r="R17" i="1"/>
  <c r="FR16" i="1"/>
  <c r="FU16" i="1" s="1"/>
  <c r="R16" i="1"/>
  <c r="FR15" i="1"/>
  <c r="FU15" i="1" s="1"/>
  <c r="R15" i="1"/>
  <c r="FR14" i="1"/>
  <c r="FU14" i="1"/>
  <c r="CN14" i="1"/>
  <c r="CO14" i="1"/>
  <c r="CP14" i="1"/>
  <c r="CQ14" i="1"/>
  <c r="EX14" i="1"/>
  <c r="R14" i="1"/>
  <c r="FR13" i="1"/>
  <c r="FU13" i="1"/>
  <c r="R13" i="1"/>
  <c r="FR12" i="1"/>
  <c r="FU12" i="1" s="1"/>
  <c r="EX12" i="1"/>
  <c r="R12" i="1"/>
  <c r="FR11" i="1"/>
  <c r="FU11" i="1" s="1"/>
  <c r="CN11" i="1"/>
  <c r="CO11" i="1"/>
  <c r="CP11" i="1"/>
  <c r="CQ11" i="1"/>
  <c r="EX11" i="1"/>
  <c r="DP11" i="1"/>
  <c r="R11" i="1"/>
  <c r="FR10" i="1"/>
  <c r="FU10" i="1"/>
  <c r="CN10" i="1"/>
  <c r="CO10" i="1"/>
  <c r="CP10" i="1"/>
  <c r="CQ10" i="1"/>
  <c r="R10" i="1"/>
  <c r="FR9" i="1"/>
  <c r="FU9" i="1"/>
  <c r="R9" i="1"/>
  <c r="FR8" i="1"/>
  <c r="FU8" i="1" s="1"/>
  <c r="R8" i="1"/>
  <c r="R9" i="2"/>
  <c r="R10" i="2"/>
  <c r="R11" i="2"/>
  <c r="R12" i="2"/>
  <c r="R13" i="2"/>
  <c r="R14" i="2"/>
  <c r="R15" i="2"/>
  <c r="R16" i="2"/>
  <c r="R17" i="2"/>
  <c r="R18" i="2"/>
  <c r="R19" i="2"/>
  <c r="R20" i="2"/>
  <c r="R8" i="2"/>
  <c r="FR20" i="2"/>
  <c r="FU20" i="2"/>
  <c r="BU20" i="2"/>
  <c r="BV20" i="2"/>
  <c r="BW20" i="2"/>
  <c r="BX20" i="2"/>
  <c r="BY20" i="2"/>
  <c r="BZ20" i="2"/>
  <c r="CA20" i="2"/>
  <c r="CB20" i="2"/>
  <c r="CC20" i="2"/>
  <c r="CD20" i="2"/>
  <c r="CE20" i="2"/>
  <c r="EX20" i="2"/>
  <c r="DI20" i="2"/>
  <c r="FR19" i="2"/>
  <c r="FU19" i="2" s="1"/>
  <c r="BU19" i="2"/>
  <c r="BV19" i="2"/>
  <c r="BW19" i="2"/>
  <c r="BX19" i="2"/>
  <c r="BY19" i="2"/>
  <c r="BZ19" i="2"/>
  <c r="CA19" i="2"/>
  <c r="CB19" i="2"/>
  <c r="CC19" i="2"/>
  <c r="CD19" i="2"/>
  <c r="CE19" i="2"/>
  <c r="EX19" i="2"/>
  <c r="DI19" i="2"/>
  <c r="FR18" i="2"/>
  <c r="FU18" i="2"/>
  <c r="BU18" i="2"/>
  <c r="BV18" i="2"/>
  <c r="BW18" i="2"/>
  <c r="BX18" i="2"/>
  <c r="BY18" i="2"/>
  <c r="BZ18" i="2"/>
  <c r="CA18" i="2"/>
  <c r="CB18" i="2"/>
  <c r="CC18" i="2"/>
  <c r="CD18" i="2"/>
  <c r="CE18" i="2"/>
  <c r="DI18" i="2"/>
  <c r="FR17" i="2"/>
  <c r="FU17" i="2" s="1"/>
  <c r="BU17" i="2"/>
  <c r="BV17" i="2"/>
  <c r="BW17" i="2"/>
  <c r="BX17" i="2"/>
  <c r="BY17" i="2"/>
  <c r="BZ17" i="2"/>
  <c r="CA17" i="2"/>
  <c r="CB17" i="2"/>
  <c r="CC17" i="2"/>
  <c r="CD17" i="2"/>
  <c r="CE17" i="2"/>
  <c r="DI17" i="2"/>
  <c r="FR16" i="2"/>
  <c r="FU16" i="2"/>
  <c r="BU16" i="2"/>
  <c r="BV16" i="2"/>
  <c r="BW16" i="2"/>
  <c r="BX16" i="2"/>
  <c r="BY16" i="2"/>
  <c r="BZ16" i="2"/>
  <c r="CA16" i="2"/>
  <c r="CB16" i="2"/>
  <c r="CC16" i="2"/>
  <c r="CD16" i="2"/>
  <c r="CE16" i="2"/>
  <c r="DI16" i="2"/>
  <c r="FR15" i="2"/>
  <c r="FU15" i="2" s="1"/>
  <c r="BU15" i="2"/>
  <c r="BV15" i="2"/>
  <c r="BW15" i="2"/>
  <c r="BX15" i="2"/>
  <c r="BY15" i="2"/>
  <c r="BZ15" i="2"/>
  <c r="CA15" i="2"/>
  <c r="CB15" i="2"/>
  <c r="CC15" i="2"/>
  <c r="CD15" i="2"/>
  <c r="CE15" i="2"/>
  <c r="EX15" i="2"/>
  <c r="DI15" i="2"/>
  <c r="FR14" i="2"/>
  <c r="FU14" i="2"/>
  <c r="BU14" i="2"/>
  <c r="BV14" i="2"/>
  <c r="BW14" i="2"/>
  <c r="BX14" i="2"/>
  <c r="BY14" i="2"/>
  <c r="BZ14" i="2"/>
  <c r="CA14" i="2"/>
  <c r="CB14" i="2"/>
  <c r="CC14" i="2"/>
  <c r="CD14" i="2"/>
  <c r="CE14" i="2"/>
  <c r="DI14" i="2"/>
  <c r="FR13" i="2"/>
  <c r="FU13" i="2" s="1"/>
  <c r="BU13" i="2"/>
  <c r="BV13" i="2"/>
  <c r="CF13" i="2" s="1"/>
  <c r="CQ13" i="2" s="1"/>
  <c r="BW13" i="2"/>
  <c r="BX13" i="2"/>
  <c r="BY13" i="2"/>
  <c r="BZ13" i="2"/>
  <c r="CA13" i="2"/>
  <c r="CB13" i="2"/>
  <c r="CC13" i="2"/>
  <c r="CD13" i="2"/>
  <c r="CE13" i="2"/>
  <c r="DI13" i="2"/>
  <c r="FR12" i="2"/>
  <c r="FU12" i="2"/>
  <c r="BU12" i="2"/>
  <c r="BV12" i="2"/>
  <c r="BW12" i="2"/>
  <c r="BX12" i="2"/>
  <c r="BY12" i="2"/>
  <c r="BZ12" i="2"/>
  <c r="CA12" i="2"/>
  <c r="CB12" i="2"/>
  <c r="CC12" i="2"/>
  <c r="CD12" i="2"/>
  <c r="CE12" i="2"/>
  <c r="DI12" i="2"/>
  <c r="FR11" i="2"/>
  <c r="FU11" i="2" s="1"/>
  <c r="BU11" i="2"/>
  <c r="BV11" i="2"/>
  <c r="BW11" i="2"/>
  <c r="BX11" i="2"/>
  <c r="BY11" i="2"/>
  <c r="BZ11" i="2"/>
  <c r="CA11" i="2"/>
  <c r="CB11" i="2"/>
  <c r="CC11" i="2"/>
  <c r="CD11" i="2"/>
  <c r="CE11" i="2"/>
  <c r="DI11" i="2"/>
  <c r="FR10" i="2"/>
  <c r="FU10" i="2"/>
  <c r="BU10" i="2"/>
  <c r="BV10" i="2"/>
  <c r="BW10" i="2"/>
  <c r="BX10" i="2"/>
  <c r="BY10" i="2"/>
  <c r="BZ10" i="2"/>
  <c r="CA10" i="2"/>
  <c r="CB10" i="2"/>
  <c r="CC10" i="2"/>
  <c r="CD10" i="2"/>
  <c r="CE10" i="2"/>
  <c r="EX10" i="2"/>
  <c r="DI10" i="2"/>
  <c r="FR9" i="2"/>
  <c r="FU9" i="2" s="1"/>
  <c r="BU9" i="2"/>
  <c r="BV9" i="2"/>
  <c r="BW9" i="2"/>
  <c r="BX9" i="2"/>
  <c r="BY9" i="2"/>
  <c r="BZ9" i="2"/>
  <c r="CA9" i="2"/>
  <c r="CB9" i="2"/>
  <c r="CC9" i="2"/>
  <c r="CD9" i="2"/>
  <c r="CE9" i="2"/>
  <c r="DI9" i="2"/>
  <c r="FR8" i="2"/>
  <c r="FU8" i="2"/>
  <c r="BU8" i="2"/>
  <c r="BV8" i="2"/>
  <c r="BW8" i="2"/>
  <c r="BX8" i="2"/>
  <c r="BY8" i="2"/>
  <c r="BZ8" i="2"/>
  <c r="CA8" i="2"/>
  <c r="CB8" i="2"/>
  <c r="CC8" i="2"/>
  <c r="CD8" i="2"/>
  <c r="CE8" i="2"/>
  <c r="EX8" i="2"/>
  <c r="DI8" i="2"/>
  <c r="DE8" i="1"/>
  <c r="DQ8" i="1"/>
  <c r="DX8" i="1"/>
  <c r="GC8" i="1"/>
  <c r="DE9" i="1"/>
  <c r="DQ9" i="1"/>
  <c r="DX9" i="1"/>
  <c r="GC9" i="1"/>
  <c r="DE10" i="1"/>
  <c r="DQ10" i="1"/>
  <c r="DX10" i="1"/>
  <c r="GC10" i="1"/>
  <c r="DE11" i="1"/>
  <c r="DQ11" i="1"/>
  <c r="DX11" i="1"/>
  <c r="GC11" i="1"/>
  <c r="DE12" i="1"/>
  <c r="DQ12" i="1"/>
  <c r="DX12" i="1"/>
  <c r="GC12" i="1"/>
  <c r="DE13" i="1"/>
  <c r="DQ13" i="1"/>
  <c r="DX13" i="1"/>
  <c r="GC13" i="1"/>
  <c r="DE14" i="1"/>
  <c r="DQ14" i="1"/>
  <c r="DX14" i="1"/>
  <c r="GC14" i="1"/>
  <c r="DE15" i="1"/>
  <c r="DQ15" i="1"/>
  <c r="DX15" i="1"/>
  <c r="GC15" i="1"/>
  <c r="DE16" i="1"/>
  <c r="DQ16" i="1"/>
  <c r="DX16" i="1"/>
  <c r="GC16" i="1"/>
  <c r="DE17" i="1"/>
  <c r="DQ17" i="1"/>
  <c r="DX17" i="1"/>
  <c r="GC17" i="1"/>
  <c r="DE18" i="1"/>
  <c r="DQ18" i="1"/>
  <c r="DX18" i="1"/>
  <c r="GC18" i="1"/>
  <c r="DE19" i="1"/>
  <c r="DQ19" i="1"/>
  <c r="DX19" i="1"/>
  <c r="GC19" i="1"/>
  <c r="DE20" i="1"/>
  <c r="DQ20" i="1"/>
  <c r="DX20" i="1"/>
  <c r="GC20" i="1"/>
  <c r="EM18" i="2" l="1"/>
  <c r="EO18" i="2" s="1"/>
  <c r="DA32" i="2"/>
  <c r="DO32" i="2"/>
  <c r="CO8" i="2"/>
  <c r="CF8" i="2"/>
  <c r="CG8" i="2"/>
  <c r="CO20" i="2"/>
  <c r="CF20" i="2"/>
  <c r="CK20" i="2" s="1"/>
  <c r="CG20" i="2"/>
  <c r="CM19" i="2"/>
  <c r="CJ13" i="2"/>
  <c r="CN13" i="2"/>
  <c r="CG13" i="2"/>
  <c r="CK13" i="2"/>
  <c r="CO13" i="2"/>
  <c r="CH13" i="2"/>
  <c r="CL13" i="2"/>
  <c r="CP13" i="2"/>
  <c r="CI13" i="2"/>
  <c r="CM13" i="2"/>
  <c r="CF10" i="2"/>
  <c r="CF16" i="2"/>
  <c r="CF19" i="2"/>
  <c r="CQ19" i="2" s="1"/>
  <c r="EQ20" i="2"/>
  <c r="EU20" i="2"/>
  <c r="EO20" i="2"/>
  <c r="ER20" i="2"/>
  <c r="EV20" i="2"/>
  <c r="ES20" i="2"/>
  <c r="EW20" i="2"/>
  <c r="ET20" i="2"/>
  <c r="CF9" i="2"/>
  <c r="CQ9" i="2" s="1"/>
  <c r="CG10" i="2"/>
  <c r="CF12" i="2"/>
  <c r="CF15" i="2"/>
  <c r="CG16" i="2"/>
  <c r="CF18" i="2"/>
  <c r="DA28" i="2"/>
  <c r="CQ36" i="2"/>
  <c r="CF36" i="2"/>
  <c r="CH36" i="2" s="1"/>
  <c r="CQ38" i="2"/>
  <c r="CF38" i="2"/>
  <c r="CH38" i="2" s="1"/>
  <c r="EX34" i="2"/>
  <c r="CF11" i="2"/>
  <c r="CG12" i="2"/>
  <c r="CF14" i="2"/>
  <c r="CF17" i="2"/>
  <c r="CF26" i="2"/>
  <c r="CH26" i="2" s="1"/>
  <c r="CK31" i="2"/>
  <c r="CO31" i="2"/>
  <c r="CJ31" i="2"/>
  <c r="CH31" i="2"/>
  <c r="CP31" i="2"/>
  <c r="CQ31" i="2"/>
  <c r="CM31" i="2"/>
  <c r="CG31" i="2"/>
  <c r="CN31" i="2"/>
  <c r="CI31" i="2"/>
  <c r="N32" i="3"/>
  <c r="L32" i="3"/>
  <c r="M32" i="3" s="1"/>
  <c r="EM40" i="1"/>
  <c r="EN40" i="1" s="1"/>
  <c r="EW36" i="1"/>
  <c r="EM36" i="1"/>
  <c r="EN36" i="1" s="1"/>
  <c r="CL25" i="2"/>
  <c r="CF27" i="2"/>
  <c r="CH27" i="2" s="1"/>
  <c r="CK34" i="2"/>
  <c r="CQ34" i="2"/>
  <c r="CJ34" i="2"/>
  <c r="CH34" i="2"/>
  <c r="CM34" i="2"/>
  <c r="CO34" i="2"/>
  <c r="CN34" i="2"/>
  <c r="CI34" i="2"/>
  <c r="CK30" i="2"/>
  <c r="CM30" i="2"/>
  <c r="CJ30" i="2"/>
  <c r="CH30" i="2"/>
  <c r="CO30" i="2"/>
  <c r="CP30" i="2"/>
  <c r="CN30" i="2"/>
  <c r="CI30" i="2"/>
  <c r="CM35" i="2"/>
  <c r="CF35" i="2"/>
  <c r="CH35" i="2"/>
  <c r="N30" i="3"/>
  <c r="L30" i="3"/>
  <c r="M30" i="3" s="1"/>
  <c r="N38" i="3"/>
  <c r="L38" i="3"/>
  <c r="M38" i="3" s="1"/>
  <c r="G41" i="3"/>
  <c r="H41" i="3" s="1"/>
  <c r="G37" i="3"/>
  <c r="H37" i="3" s="1"/>
  <c r="G33" i="3"/>
  <c r="H33" i="3" s="1"/>
  <c r="G29" i="3"/>
  <c r="H29" i="3" s="1"/>
  <c r="G25" i="3"/>
  <c r="H25" i="3" s="1"/>
  <c r="G21" i="3"/>
  <c r="H21" i="3" s="1"/>
  <c r="G17" i="3"/>
  <c r="H17" i="3" s="1"/>
  <c r="G13" i="3"/>
  <c r="H13" i="3" s="1"/>
  <c r="G39" i="3"/>
  <c r="H39" i="3" s="1"/>
  <c r="G32" i="3"/>
  <c r="H32" i="3" s="1"/>
  <c r="G26" i="3"/>
  <c r="H26" i="3" s="1"/>
  <c r="G23" i="3"/>
  <c r="H23" i="3" s="1"/>
  <c r="G16" i="3"/>
  <c r="H16" i="3" s="1"/>
  <c r="G10" i="3"/>
  <c r="H10" i="3" s="1"/>
  <c r="G35" i="3"/>
  <c r="H35" i="3" s="1"/>
  <c r="G28" i="3"/>
  <c r="H28" i="3" s="1"/>
  <c r="G22" i="3"/>
  <c r="H22" i="3" s="1"/>
  <c r="G19" i="3"/>
  <c r="H19" i="3" s="1"/>
  <c r="G12" i="3"/>
  <c r="H12" i="3" s="1"/>
  <c r="G40" i="3"/>
  <c r="H40" i="3" s="1"/>
  <c r="G38" i="3"/>
  <c r="H38" i="3" s="1"/>
  <c r="G34" i="3"/>
  <c r="H34" i="3" s="1"/>
  <c r="G31" i="3"/>
  <c r="H31" i="3" s="1"/>
  <c r="G24" i="3"/>
  <c r="H24" i="3" s="1"/>
  <c r="G18" i="3"/>
  <c r="H18" i="3" s="1"/>
  <c r="G15" i="3"/>
  <c r="H15" i="3" s="1"/>
  <c r="B21" i="6"/>
  <c r="B20" i="6"/>
  <c r="ET8" i="2"/>
  <c r="EN8" i="2"/>
  <c r="ER8" i="2"/>
  <c r="EU8" i="2"/>
  <c r="EP8" i="2"/>
  <c r="EQ8" i="2"/>
  <c r="EW33" i="2"/>
  <c r="EM33" i="2"/>
  <c r="EO31" i="2"/>
  <c r="ER31" i="2"/>
  <c r="EV31" i="2"/>
  <c r="ET31" i="2"/>
  <c r="EP31" i="2"/>
  <c r="EX31" i="2"/>
  <c r="EN31" i="2"/>
  <c r="ES31" i="2"/>
  <c r="EQ31" i="2"/>
  <c r="ET28" i="2"/>
  <c r="CJ25" i="2"/>
  <c r="CF22" i="2"/>
  <c r="CH22" i="2" s="1"/>
  <c r="DO33" i="2"/>
  <c r="AI33" i="2"/>
  <c r="DA33" i="2"/>
  <c r="CG30" i="2"/>
  <c r="CK33" i="2"/>
  <c r="CM33" i="2"/>
  <c r="CZ33" i="2" s="1"/>
  <c r="CJ33" i="2"/>
  <c r="DN33" i="2" s="1"/>
  <c r="CH33" i="2"/>
  <c r="CO33" i="2"/>
  <c r="CP33" i="2"/>
  <c r="CN33" i="2"/>
  <c r="CI33" i="2"/>
  <c r="CL31" i="2"/>
  <c r="CK29" i="2"/>
  <c r="CQ29" i="2"/>
  <c r="CJ29" i="2"/>
  <c r="FB29" i="2" s="1"/>
  <c r="CH29" i="2"/>
  <c r="CM29" i="2"/>
  <c r="CO29" i="2"/>
  <c r="CN29" i="2"/>
  <c r="CI29" i="2"/>
  <c r="CJ36" i="2"/>
  <c r="CF40" i="2"/>
  <c r="CJ40" i="2" s="1"/>
  <c r="CJ38" i="2"/>
  <c r="CF37" i="2"/>
  <c r="N16" i="3"/>
  <c r="L16" i="3"/>
  <c r="M16" i="3" s="1"/>
  <c r="N40" i="3"/>
  <c r="L40" i="3"/>
  <c r="M40" i="3" s="1"/>
  <c r="S15" i="6"/>
  <c r="X15" i="6"/>
  <c r="U15" i="6"/>
  <c r="EM37" i="2"/>
  <c r="EW37" i="2" s="1"/>
  <c r="EO35" i="2"/>
  <c r="ER35" i="2"/>
  <c r="EV35" i="2"/>
  <c r="ET35" i="2"/>
  <c r="EP35" i="2"/>
  <c r="EN35" i="2"/>
  <c r="EX35" i="2"/>
  <c r="ES35" i="2"/>
  <c r="EQ35" i="2"/>
  <c r="EN33" i="2"/>
  <c r="ER32" i="2"/>
  <c r="ES25" i="2"/>
  <c r="EM25" i="2"/>
  <c r="EW25" i="2" s="1"/>
  <c r="EN25" i="2"/>
  <c r="CQ24" i="2"/>
  <c r="CF24" i="2"/>
  <c r="CH24" i="2" s="1"/>
  <c r="CF21" i="2"/>
  <c r="CK21" i="2" s="1"/>
  <c r="CP34" i="2"/>
  <c r="CG34" i="2"/>
  <c r="AI29" i="2"/>
  <c r="DO29" i="2"/>
  <c r="CL34" i="2"/>
  <c r="CK32" i="2"/>
  <c r="CP32" i="2"/>
  <c r="CJ32" i="2"/>
  <c r="DN32" i="2" s="1"/>
  <c r="CH32" i="2"/>
  <c r="CQ32" i="2"/>
  <c r="CM32" i="2"/>
  <c r="CN32" i="2"/>
  <c r="CI32" i="2"/>
  <c r="AI32" i="2" s="1"/>
  <c r="CL30" i="2"/>
  <c r="CK28" i="2"/>
  <c r="CP28" i="2"/>
  <c r="CJ28" i="2"/>
  <c r="DN28" i="2" s="1"/>
  <c r="CH28" i="2"/>
  <c r="FB28" i="2" s="1"/>
  <c r="CQ28" i="2"/>
  <c r="CM28" i="2"/>
  <c r="CN28" i="2"/>
  <c r="CI28" i="2"/>
  <c r="CJ35" i="2"/>
  <c r="CF39" i="2"/>
  <c r="CJ39" i="2" s="1"/>
  <c r="N14" i="3"/>
  <c r="L14" i="3"/>
  <c r="M14" i="3" s="1"/>
  <c r="G27" i="3"/>
  <c r="H27" i="3" s="1"/>
  <c r="G30" i="3"/>
  <c r="H30" i="3" s="1"/>
  <c r="G36" i="3"/>
  <c r="H36" i="3" s="1"/>
  <c r="ES8" i="2"/>
  <c r="EO39" i="2"/>
  <c r="ER39" i="2"/>
  <c r="EV39" i="2"/>
  <c r="ET39" i="2"/>
  <c r="EP39" i="2"/>
  <c r="EN39" i="2"/>
  <c r="EX39" i="2"/>
  <c r="ES39" i="2"/>
  <c r="EQ39" i="2"/>
  <c r="ET16" i="2"/>
  <c r="EO15" i="2"/>
  <c r="ER15" i="2"/>
  <c r="EV15" i="2"/>
  <c r="ES15" i="2"/>
  <c r="EW15" i="2"/>
  <c r="ET15" i="2"/>
  <c r="EN15" i="2"/>
  <c r="EU15" i="2"/>
  <c r="EQ15" i="2"/>
  <c r="ET12" i="2"/>
  <c r="CL40" i="1"/>
  <c r="CG40" i="1"/>
  <c r="CQ40" i="1"/>
  <c r="CM40" i="1"/>
  <c r="CO40" i="1"/>
  <c r="CI40" i="1"/>
  <c r="CP40" i="1"/>
  <c r="CL36" i="1"/>
  <c r="CG36" i="1"/>
  <c r="CM36" i="1"/>
  <c r="CI36" i="1"/>
  <c r="CF25" i="2"/>
  <c r="CP25" i="2" s="1"/>
  <c r="CF23" i="2"/>
  <c r="L22" i="3"/>
  <c r="M22" i="3" s="1"/>
  <c r="EW8" i="2"/>
  <c r="BL8" i="2"/>
  <c r="BM8" i="2" s="1"/>
  <c r="EP28" i="2"/>
  <c r="EO27" i="2"/>
  <c r="ER27" i="2"/>
  <c r="EV27" i="2"/>
  <c r="ES27" i="2"/>
  <c r="EW27" i="2"/>
  <c r="ET27" i="2"/>
  <c r="BL24" i="2"/>
  <c r="BM24" i="2" s="1"/>
  <c r="EW21" i="2"/>
  <c r="EM21" i="2"/>
  <c r="EN21" i="2"/>
  <c r="EM16" i="2"/>
  <c r="EP15" i="2"/>
  <c r="EM14" i="2"/>
  <c r="EW14" i="2" s="1"/>
  <c r="ES13" i="2"/>
  <c r="EM13" i="2"/>
  <c r="EN13" i="2"/>
  <c r="GG8" i="1"/>
  <c r="GG2" i="1" s="1"/>
  <c r="GD2" i="1"/>
  <c r="CK40" i="1"/>
  <c r="GN37" i="1"/>
  <c r="GR37" i="1"/>
  <c r="GM37" i="1"/>
  <c r="GQ37" i="1"/>
  <c r="CK36" i="1"/>
  <c r="CZ33" i="1"/>
  <c r="GN33" i="1"/>
  <c r="GR33" i="1"/>
  <c r="GM33" i="1"/>
  <c r="GQ33" i="1"/>
  <c r="GT33" i="1" s="1"/>
  <c r="EO8" i="2"/>
  <c r="EV8" i="2"/>
  <c r="EP40" i="2"/>
  <c r="EW39" i="2"/>
  <c r="EM38" i="2"/>
  <c r="EP38" i="2" s="1"/>
  <c r="EW35" i="2"/>
  <c r="EM34" i="2"/>
  <c r="EP34" i="2" s="1"/>
  <c r="EP32" i="2"/>
  <c r="EW31" i="2"/>
  <c r="EM30" i="2"/>
  <c r="EX30" i="2" s="1"/>
  <c r="EM28" i="2"/>
  <c r="EN27" i="2"/>
  <c r="EP27" i="2"/>
  <c r="EM26" i="2"/>
  <c r="EP26" i="2" s="1"/>
  <c r="EO23" i="2"/>
  <c r="ER23" i="2"/>
  <c r="EV23" i="2"/>
  <c r="ES23" i="2"/>
  <c r="EW23" i="2"/>
  <c r="ET23" i="2"/>
  <c r="BL20" i="2"/>
  <c r="BM20" i="2" s="1"/>
  <c r="EW17" i="2"/>
  <c r="EM17" i="2"/>
  <c r="EN17" i="2"/>
  <c r="EO14" i="2"/>
  <c r="ER13" i="2"/>
  <c r="EO13" i="2"/>
  <c r="EW37" i="1"/>
  <c r="ES37" i="1"/>
  <c r="EQ37" i="1"/>
  <c r="EW33" i="1"/>
  <c r="ES33" i="1"/>
  <c r="EQ33" i="1"/>
  <c r="L37" i="3"/>
  <c r="M37" i="3" s="1"/>
  <c r="EM40" i="2"/>
  <c r="EM36" i="2"/>
  <c r="EO36" i="2" s="1"/>
  <c r="EM32" i="2"/>
  <c r="EV32" i="2" s="1"/>
  <c r="EW29" i="2"/>
  <c r="EM29" i="2"/>
  <c r="EO26" i="2"/>
  <c r="EM24" i="2"/>
  <c r="EN23" i="2"/>
  <c r="EP23" i="2"/>
  <c r="EM22" i="2"/>
  <c r="EP20" i="2"/>
  <c r="EO19" i="2"/>
  <c r="ER19" i="2"/>
  <c r="EV19" i="2"/>
  <c r="ES19" i="2"/>
  <c r="EW19" i="2"/>
  <c r="HA19" i="2" s="1"/>
  <c r="ET19" i="2"/>
  <c r="EW18" i="2"/>
  <c r="BL16" i="2"/>
  <c r="BM16" i="2" s="1"/>
  <c r="EM8" i="1"/>
  <c r="EP8" i="1" s="1"/>
  <c r="GI2" i="1"/>
  <c r="GQ8" i="1"/>
  <c r="CF39" i="1"/>
  <c r="CI39" i="1" s="1"/>
  <c r="EO37" i="1"/>
  <c r="CL35" i="1"/>
  <c r="CF35" i="1"/>
  <c r="EO33" i="1"/>
  <c r="ES32" i="1"/>
  <c r="EM32" i="1"/>
  <c r="EW32" i="1" s="1"/>
  <c r="EN32" i="1"/>
  <c r="EN31" i="1"/>
  <c r="EO31" i="1"/>
  <c r="EQ31" i="1"/>
  <c r="EU31" i="1"/>
  <c r="EW31" i="1"/>
  <c r="ES31" i="1"/>
  <c r="BL13" i="2"/>
  <c r="BM13" i="2" s="1"/>
  <c r="EM12" i="2"/>
  <c r="EN12" i="2"/>
  <c r="GO8" i="1"/>
  <c r="GO2" i="1" s="1"/>
  <c r="CK8" i="1"/>
  <c r="CM8" i="1"/>
  <c r="CQ8" i="1"/>
  <c r="CJ8" i="1"/>
  <c r="CH8" i="1"/>
  <c r="CO8" i="1"/>
  <c r="CN8" i="1"/>
  <c r="CI8" i="1"/>
  <c r="CJ40" i="1"/>
  <c r="GN38" i="1"/>
  <c r="GR38" i="1"/>
  <c r="GT38" i="1" s="1"/>
  <c r="GM38" i="1"/>
  <c r="EV37" i="1"/>
  <c r="ER37" i="1"/>
  <c r="CJ36" i="1"/>
  <c r="GN34" i="1"/>
  <c r="GR34" i="1"/>
  <c r="GT34" i="1" s="1"/>
  <c r="GM34" i="1"/>
  <c r="EV33" i="1"/>
  <c r="ER33" i="1"/>
  <c r="CL31" i="1"/>
  <c r="EW9" i="2"/>
  <c r="EM9" i="2"/>
  <c r="EU40" i="1"/>
  <c r="EQ40" i="1"/>
  <c r="EM39" i="1"/>
  <c r="EP39" i="1" s="1"/>
  <c r="CF38" i="1"/>
  <c r="CH38" i="1" s="1"/>
  <c r="GO38" i="1"/>
  <c r="CK37" i="1"/>
  <c r="CM37" i="1"/>
  <c r="CJ37" i="1"/>
  <c r="CZ37" i="1" s="1"/>
  <c r="CH37" i="1"/>
  <c r="CI37" i="1"/>
  <c r="EU36" i="1"/>
  <c r="EQ36" i="1"/>
  <c r="EV35" i="1"/>
  <c r="EM35" i="1"/>
  <c r="EP35" i="1" s="1"/>
  <c r="CI35" i="1"/>
  <c r="CF34" i="1"/>
  <c r="CH34" i="1" s="1"/>
  <c r="GO34" i="1"/>
  <c r="CK33" i="1"/>
  <c r="CM33" i="1"/>
  <c r="CJ33" i="1"/>
  <c r="CH33" i="1"/>
  <c r="CI33" i="1"/>
  <c r="EU32" i="1"/>
  <c r="EQ32" i="1"/>
  <c r="ET31" i="1"/>
  <c r="EP31" i="1"/>
  <c r="CK30" i="1"/>
  <c r="CM30" i="1"/>
  <c r="CI30" i="1"/>
  <c r="CL30" i="1"/>
  <c r="CG30" i="1"/>
  <c r="EW29" i="1"/>
  <c r="ES29" i="1"/>
  <c r="EN29" i="1"/>
  <c r="EO29" i="1"/>
  <c r="EQ29" i="1"/>
  <c r="EU29" i="1"/>
  <c r="L13" i="3"/>
  <c r="M13" i="3" s="1"/>
  <c r="L17" i="3"/>
  <c r="M17" i="3" s="1"/>
  <c r="L21" i="3"/>
  <c r="M21" i="3" s="1"/>
  <c r="L25" i="3"/>
  <c r="M25" i="3" s="1"/>
  <c r="L29" i="3"/>
  <c r="M29" i="3" s="1"/>
  <c r="L33" i="3"/>
  <c r="M33" i="3" s="1"/>
  <c r="EN40" i="2"/>
  <c r="EN32" i="2"/>
  <c r="EN28" i="2"/>
  <c r="EN24" i="2"/>
  <c r="EN20" i="2"/>
  <c r="EN16" i="2"/>
  <c r="EM11" i="2"/>
  <c r="EP11" i="2"/>
  <c r="EO10" i="2"/>
  <c r="ER10" i="2"/>
  <c r="EV10" i="2"/>
  <c r="EP10" i="2"/>
  <c r="HA10" i="2" s="1"/>
  <c r="ES10" i="2"/>
  <c r="ET10" i="2"/>
  <c r="CP8" i="1"/>
  <c r="GK2" i="1"/>
  <c r="CL8" i="1"/>
  <c r="CG8" i="1"/>
  <c r="CH40" i="1"/>
  <c r="CM39" i="1"/>
  <c r="GO39" i="1"/>
  <c r="GQ39" i="1"/>
  <c r="EO38" i="1"/>
  <c r="EP38" i="1"/>
  <c r="HA38" i="1" s="1"/>
  <c r="ER38" i="1"/>
  <c r="EV38" i="1"/>
  <c r="EU38" i="1"/>
  <c r="EQ38" i="1"/>
  <c r="ET37" i="1"/>
  <c r="EP37" i="1"/>
  <c r="GO37" i="1"/>
  <c r="CH36" i="1"/>
  <c r="CM35" i="1"/>
  <c r="GO35" i="1"/>
  <c r="GQ35" i="1"/>
  <c r="EO34" i="1"/>
  <c r="EY34" i="1" s="1"/>
  <c r="EP34" i="1"/>
  <c r="HA34" i="1" s="1"/>
  <c r="ER34" i="1"/>
  <c r="EV34" i="1"/>
  <c r="EU34" i="1"/>
  <c r="EQ34" i="1"/>
  <c r="ET33" i="1"/>
  <c r="EP33" i="1"/>
  <c r="GO33" i="1"/>
  <c r="EO30" i="1"/>
  <c r="EP30" i="1"/>
  <c r="ER30" i="1"/>
  <c r="EV30" i="1"/>
  <c r="ET30" i="1"/>
  <c r="EV29" i="1"/>
  <c r="ER29" i="1"/>
  <c r="EN30" i="1"/>
  <c r="CF29" i="1"/>
  <c r="CL29" i="1" s="1"/>
  <c r="EO28" i="1"/>
  <c r="EP28" i="1"/>
  <c r="ER28" i="1"/>
  <c r="EV28" i="1"/>
  <c r="EU28" i="1"/>
  <c r="EQ28" i="1"/>
  <c r="EP27" i="1"/>
  <c r="EM25" i="1"/>
  <c r="EV25" i="1" s="1"/>
  <c r="CH24" i="1"/>
  <c r="CF24" i="1"/>
  <c r="CM24" i="1" s="1"/>
  <c r="CK23" i="1"/>
  <c r="CM23" i="1"/>
  <c r="CJ23" i="1"/>
  <c r="DN23" i="1" s="1"/>
  <c r="CH23" i="1"/>
  <c r="CI23" i="1"/>
  <c r="CJ22" i="1"/>
  <c r="AV22" i="1" s="1"/>
  <c r="CL21" i="1"/>
  <c r="CF21" i="1"/>
  <c r="GN18" i="1"/>
  <c r="GR18" i="1"/>
  <c r="GT18" i="1" s="1"/>
  <c r="GM18" i="1"/>
  <c r="GO18" i="1"/>
  <c r="ES16" i="1"/>
  <c r="EM16" i="1"/>
  <c r="EW16" i="1" s="1"/>
  <c r="EN16" i="1"/>
  <c r="EN9" i="2"/>
  <c r="BL8" i="1"/>
  <c r="BM8" i="1" s="1"/>
  <c r="GJ2" i="1"/>
  <c r="GN8" i="1"/>
  <c r="GM39" i="1"/>
  <c r="GR39" i="1"/>
  <c r="EN37" i="1"/>
  <c r="GM35" i="1"/>
  <c r="GR35" i="1"/>
  <c r="EN33" i="1"/>
  <c r="CF32" i="1"/>
  <c r="GM31" i="1"/>
  <c r="CH30" i="1"/>
  <c r="GO29" i="1"/>
  <c r="EN28" i="1"/>
  <c r="CJ28" i="1"/>
  <c r="EM27" i="1"/>
  <c r="EO27" i="1" s="1"/>
  <c r="GR27" i="1"/>
  <c r="GM27" i="1"/>
  <c r="EW26" i="1"/>
  <c r="ES26" i="1"/>
  <c r="EM26" i="1"/>
  <c r="EN26" i="1"/>
  <c r="CL26" i="1"/>
  <c r="CG26" i="1"/>
  <c r="GO25" i="1"/>
  <c r="GQ25" i="1"/>
  <c r="GT25" i="1" s="1"/>
  <c r="EO24" i="1"/>
  <c r="EP24" i="1"/>
  <c r="ER24" i="1"/>
  <c r="EV24" i="1"/>
  <c r="EU24" i="1"/>
  <c r="EQ24" i="1"/>
  <c r="GO23" i="1"/>
  <c r="BL22" i="1"/>
  <c r="BM22" i="1" s="1"/>
  <c r="EN21" i="1"/>
  <c r="EO21" i="1"/>
  <c r="EQ21" i="1"/>
  <c r="EU21" i="1"/>
  <c r="EW19" i="1"/>
  <c r="ES19" i="1"/>
  <c r="EM19" i="1"/>
  <c r="EN19" i="1"/>
  <c r="CF31" i="1"/>
  <c r="GN28" i="1"/>
  <c r="GR28" i="1"/>
  <c r="GT28" i="1" s="1"/>
  <c r="GM28" i="1"/>
  <c r="GT27" i="1"/>
  <c r="EP25" i="1"/>
  <c r="CL25" i="1"/>
  <c r="CG25" i="1"/>
  <c r="CF25" i="1"/>
  <c r="CJ24" i="1"/>
  <c r="GR23" i="1"/>
  <c r="GM23" i="1"/>
  <c r="EM22" i="1"/>
  <c r="EQ22" i="1" s="1"/>
  <c r="CL22" i="1"/>
  <c r="CG22" i="1"/>
  <c r="CI21" i="1"/>
  <c r="CH20" i="1"/>
  <c r="CM20" i="1"/>
  <c r="CK20" i="1"/>
  <c r="CI20" i="1"/>
  <c r="EO18" i="1"/>
  <c r="ER18" i="1"/>
  <c r="EV18" i="1"/>
  <c r="ES18" i="1"/>
  <c r="EW18" i="1"/>
  <c r="EN18" i="1"/>
  <c r="EU18" i="1"/>
  <c r="EQ18" i="1"/>
  <c r="EM17" i="1"/>
  <c r="EV17" i="1" s="1"/>
  <c r="EW9" i="1"/>
  <c r="GM29" i="1"/>
  <c r="GR29" i="1"/>
  <c r="GT29" i="1" s="1"/>
  <c r="CM28" i="1"/>
  <c r="CH28" i="1"/>
  <c r="CF28" i="1"/>
  <c r="GO28" i="1"/>
  <c r="CK27" i="1"/>
  <c r="CJ27" i="1"/>
  <c r="CZ27" i="1" s="1"/>
  <c r="CH27" i="1"/>
  <c r="CI27" i="1"/>
  <c r="EU26" i="1"/>
  <c r="EQ26" i="1"/>
  <c r="GT26" i="1"/>
  <c r="CM26" i="1"/>
  <c r="EZ26" i="1" s="1"/>
  <c r="CJ26" i="1"/>
  <c r="DP26" i="1" s="1"/>
  <c r="ET24" i="1"/>
  <c r="HA24" i="1" s="1"/>
  <c r="EW24" i="1"/>
  <c r="ES24" i="1"/>
  <c r="GN24" i="1"/>
  <c r="GR24" i="1"/>
  <c r="GT24" i="1" s="1"/>
  <c r="GM24" i="1"/>
  <c r="EM23" i="1"/>
  <c r="ER23" i="1" s="1"/>
  <c r="GQ23" i="1"/>
  <c r="GN23" i="1"/>
  <c r="CI22" i="1"/>
  <c r="ET21" i="1"/>
  <c r="EP21" i="1"/>
  <c r="CL18" i="1"/>
  <c r="CL20" i="1"/>
  <c r="CG20" i="1"/>
  <c r="EU19" i="1"/>
  <c r="EQ19" i="1"/>
  <c r="CG19" i="1"/>
  <c r="CF19" i="1"/>
  <c r="CL19" i="1" s="1"/>
  <c r="CF18" i="1"/>
  <c r="CK17" i="1"/>
  <c r="CJ17" i="1"/>
  <c r="CI17" i="1"/>
  <c r="GN17" i="1"/>
  <c r="GR17" i="1"/>
  <c r="GM17" i="1"/>
  <c r="CF16" i="1"/>
  <c r="CL15" i="1"/>
  <c r="CG15" i="1"/>
  <c r="CF15" i="1"/>
  <c r="EO14" i="1"/>
  <c r="ER14" i="1"/>
  <c r="EV14" i="1"/>
  <c r="EW14" i="1"/>
  <c r="ES14" i="1"/>
  <c r="EU14" i="1"/>
  <c r="EQ14" i="1"/>
  <c r="CH14" i="1"/>
  <c r="CL14" i="1"/>
  <c r="CG14" i="1"/>
  <c r="CK14" i="1"/>
  <c r="CM14" i="1"/>
  <c r="CI14" i="1"/>
  <c r="EQ11" i="1"/>
  <c r="EO74" i="2"/>
  <c r="ES74" i="2"/>
  <c r="EW74" i="2"/>
  <c r="EN74" i="2"/>
  <c r="ET74" i="2"/>
  <c r="EQ74" i="2"/>
  <c r="EU74" i="2"/>
  <c r="EX74" i="2"/>
  <c r="CH26" i="1"/>
  <c r="DM26" i="1" s="1"/>
  <c r="CH22" i="1"/>
  <c r="GO21" i="1"/>
  <c r="ES20" i="1"/>
  <c r="EM20" i="1"/>
  <c r="ER20" i="1" s="1"/>
  <c r="CJ20" i="1"/>
  <c r="ET19" i="1"/>
  <c r="GT17" i="1"/>
  <c r="CG17" i="1"/>
  <c r="CM17" i="1"/>
  <c r="CH17" i="1"/>
  <c r="GO17" i="1"/>
  <c r="BL16" i="1"/>
  <c r="BM16" i="1" s="1"/>
  <c r="EN14" i="1"/>
  <c r="EP14" i="1"/>
  <c r="EO12" i="1"/>
  <c r="EW12" i="1"/>
  <c r="EN12" i="1"/>
  <c r="ES12" i="1"/>
  <c r="EU12" i="1"/>
  <c r="EQ12" i="1"/>
  <c r="EO10" i="1"/>
  <c r="GM25" i="1"/>
  <c r="GM21" i="1"/>
  <c r="GO19" i="1"/>
  <c r="GQ19" i="1"/>
  <c r="GT19" i="1" s="1"/>
  <c r="EP18" i="1"/>
  <c r="CG18" i="1"/>
  <c r="CM18" i="1"/>
  <c r="CL17" i="1"/>
  <c r="EM15" i="1"/>
  <c r="ET15" i="1" s="1"/>
  <c r="GO15" i="1"/>
  <c r="GQ15" i="1"/>
  <c r="GT15" i="1" s="1"/>
  <c r="ES13" i="1"/>
  <c r="EM13" i="1"/>
  <c r="EW13" i="1" s="1"/>
  <c r="EN13" i="1"/>
  <c r="EP11" i="1"/>
  <c r="EN11" i="1"/>
  <c r="ET11" i="1"/>
  <c r="EO11" i="1"/>
  <c r="EU11" i="1"/>
  <c r="EO78" i="2"/>
  <c r="ES78" i="2"/>
  <c r="ET78" i="2"/>
  <c r="EU78" i="2"/>
  <c r="EX78" i="2"/>
  <c r="EQ78" i="2"/>
  <c r="EW78" i="2"/>
  <c r="EN78" i="2"/>
  <c r="CH76" i="2"/>
  <c r="GN12" i="1"/>
  <c r="GR12" i="1"/>
  <c r="GT12" i="1" s="1"/>
  <c r="GM12" i="1"/>
  <c r="EV11" i="1"/>
  <c r="ER11" i="1"/>
  <c r="CH10" i="1"/>
  <c r="DM10" i="1" s="1"/>
  <c r="CL10" i="1"/>
  <c r="CG10" i="1"/>
  <c r="EM9" i="1"/>
  <c r="EN9" i="1"/>
  <c r="CJ78" i="2"/>
  <c r="CF76" i="2"/>
  <c r="CL76" i="2" s="1"/>
  <c r="CK75" i="2"/>
  <c r="CJ75" i="2"/>
  <c r="CO75" i="2"/>
  <c r="CN75" i="2"/>
  <c r="CI75" i="2"/>
  <c r="EV74" i="2"/>
  <c r="ER74" i="2"/>
  <c r="CH74" i="2"/>
  <c r="DM74" i="2" s="1"/>
  <c r="CL74" i="2"/>
  <c r="CG74" i="2"/>
  <c r="CP74" i="2"/>
  <c r="EM73" i="2"/>
  <c r="ES73" i="2" s="1"/>
  <c r="EQ71" i="2"/>
  <c r="ER71" i="2"/>
  <c r="EV71" i="2"/>
  <c r="EU71" i="2"/>
  <c r="EO70" i="2"/>
  <c r="ES70" i="2"/>
  <c r="EQ70" i="2"/>
  <c r="EU70" i="2"/>
  <c r="EP70" i="2"/>
  <c r="EO68" i="2"/>
  <c r="ES68" i="2"/>
  <c r="EU68" i="2"/>
  <c r="EX68" i="2"/>
  <c r="EQ68" i="2"/>
  <c r="EW68" i="2"/>
  <c r="EN68" i="2"/>
  <c r="ET68" i="2"/>
  <c r="GO13" i="1"/>
  <c r="GQ13" i="1"/>
  <c r="GT13" i="1" s="1"/>
  <c r="EP12" i="1"/>
  <c r="CM12" i="1"/>
  <c r="GO12" i="1"/>
  <c r="CM10" i="1"/>
  <c r="EZ10" i="1" s="1"/>
  <c r="GO9" i="1"/>
  <c r="GQ9" i="1"/>
  <c r="GT9" i="1" s="1"/>
  <c r="EV78" i="2"/>
  <c r="ER78" i="2"/>
  <c r="CF78" i="2"/>
  <c r="CO78" i="2" s="1"/>
  <c r="EW77" i="2"/>
  <c r="EM77" i="2"/>
  <c r="EN77" i="2" s="1"/>
  <c r="BL76" i="2"/>
  <c r="BM76" i="2" s="1"/>
  <c r="CQ75" i="2"/>
  <c r="EQ75" i="2"/>
  <c r="ER75" i="2"/>
  <c r="EV75" i="2"/>
  <c r="EU75" i="2"/>
  <c r="CG75" i="2"/>
  <c r="CM75" i="2"/>
  <c r="CH75" i="2"/>
  <c r="EP74" i="2"/>
  <c r="CM74" i="2"/>
  <c r="CP73" i="2"/>
  <c r="CL73" i="2"/>
  <c r="CG73" i="2"/>
  <c r="CF73" i="2"/>
  <c r="ET71" i="2"/>
  <c r="EX71" i="2"/>
  <c r="EO71" i="2"/>
  <c r="EW70" i="2"/>
  <c r="EP69" i="2"/>
  <c r="ET69" i="2"/>
  <c r="EO69" i="2"/>
  <c r="CG13" i="1"/>
  <c r="CF13" i="1"/>
  <c r="CL13" i="1" s="1"/>
  <c r="CF12" i="1"/>
  <c r="CI11" i="1"/>
  <c r="GN11" i="1"/>
  <c r="GR11" i="1"/>
  <c r="GM11" i="1"/>
  <c r="BL10" i="1"/>
  <c r="BM10" i="1" s="1"/>
  <c r="GT10" i="1"/>
  <c r="CL9" i="1"/>
  <c r="CF9" i="1"/>
  <c r="CK79" i="2"/>
  <c r="CJ79" i="2"/>
  <c r="CZ79" i="2" s="1"/>
  <c r="CO79" i="2"/>
  <c r="CN79" i="2"/>
  <c r="CI79" i="2"/>
  <c r="EP78" i="2"/>
  <c r="CF77" i="2"/>
  <c r="CL77" i="2" s="1"/>
  <c r="ET76" i="2"/>
  <c r="CP75" i="2"/>
  <c r="ET75" i="2"/>
  <c r="EX75" i="2"/>
  <c r="EO75" i="2"/>
  <c r="EY75" i="2" s="1"/>
  <c r="EM72" i="2"/>
  <c r="ES71" i="2"/>
  <c r="CH70" i="2"/>
  <c r="CL70" i="2"/>
  <c r="CG70" i="2"/>
  <c r="CP70" i="2"/>
  <c r="CK70" i="2"/>
  <c r="CM70" i="2"/>
  <c r="CI70" i="2"/>
  <c r="EV69" i="2"/>
  <c r="ER69" i="2"/>
  <c r="EP64" i="2"/>
  <c r="CJ14" i="1"/>
  <c r="ET13" i="1"/>
  <c r="EV12" i="1"/>
  <c r="ER12" i="1"/>
  <c r="EW11" i="1"/>
  <c r="ES11" i="1"/>
  <c r="GQ11" i="1"/>
  <c r="GT11" i="1" s="1"/>
  <c r="CG11" i="1"/>
  <c r="CM11" i="1"/>
  <c r="DN11" i="1" s="1"/>
  <c r="CH11" i="1"/>
  <c r="EW10" i="1"/>
  <c r="EM10" i="1"/>
  <c r="ER10" i="1" s="1"/>
  <c r="CK10" i="1"/>
  <c r="CJ10" i="1"/>
  <c r="ET9" i="1"/>
  <c r="EM79" i="2"/>
  <c r="EU79" i="2"/>
  <c r="CG79" i="2"/>
  <c r="CM79" i="2"/>
  <c r="CH79" i="2"/>
  <c r="EW76" i="2"/>
  <c r="EM76" i="2"/>
  <c r="EN76" i="2"/>
  <c r="CG76" i="2"/>
  <c r="CQ76" i="2"/>
  <c r="CM76" i="2"/>
  <c r="ES75" i="2"/>
  <c r="CL75" i="2"/>
  <c r="CQ74" i="2"/>
  <c r="CK74" i="2"/>
  <c r="CO74" i="2"/>
  <c r="EZ74" i="2" s="1"/>
  <c r="CJ74" i="2"/>
  <c r="CF72" i="2"/>
  <c r="CM72" i="2" s="1"/>
  <c r="EN71" i="2"/>
  <c r="EW71" i="2"/>
  <c r="CF71" i="2"/>
  <c r="CN71" i="2"/>
  <c r="CI71" i="2"/>
  <c r="EX70" i="2"/>
  <c r="EN70" i="2"/>
  <c r="EV70" i="2"/>
  <c r="ER70" i="2"/>
  <c r="EU69" i="2"/>
  <c r="EQ69" i="2"/>
  <c r="CJ68" i="2"/>
  <c r="CF68" i="2"/>
  <c r="CO68" i="2" s="1"/>
  <c r="CK66" i="2"/>
  <c r="CI66" i="2"/>
  <c r="CN66" i="2"/>
  <c r="CJ66" i="2"/>
  <c r="CL66" i="2"/>
  <c r="CG66" i="2"/>
  <c r="CO66" i="2"/>
  <c r="CF64" i="2"/>
  <c r="CO64" i="2" s="1"/>
  <c r="CH69" i="2"/>
  <c r="EQ66" i="2"/>
  <c r="EU66" i="2"/>
  <c r="CQ66" i="2"/>
  <c r="CM66" i="2"/>
  <c r="CH66" i="2"/>
  <c r="EQ65" i="2"/>
  <c r="ER65" i="2"/>
  <c r="EV65" i="2"/>
  <c r="ES65" i="2"/>
  <c r="EU65" i="2"/>
  <c r="EP65" i="2"/>
  <c r="GZ65" i="2" s="1"/>
  <c r="EV64" i="2"/>
  <c r="ER64" i="2"/>
  <c r="EM64" i="2"/>
  <c r="EP57" i="2"/>
  <c r="EO43" i="2"/>
  <c r="EP43" i="2"/>
  <c r="EQ43" i="2"/>
  <c r="EU43" i="2"/>
  <c r="EX43" i="2"/>
  <c r="ET42" i="2"/>
  <c r="EQ42" i="2"/>
  <c r="EX42" i="2"/>
  <c r="EO42" i="2"/>
  <c r="ER42" i="2"/>
  <c r="EV42" i="2"/>
  <c r="CG42" i="2"/>
  <c r="EW41" i="2"/>
  <c r="ET41" i="2"/>
  <c r="EN41" i="2"/>
  <c r="EQ41" i="2"/>
  <c r="EX41" i="2"/>
  <c r="EO41" i="2"/>
  <c r="ER41" i="2"/>
  <c r="EV41" i="2"/>
  <c r="CO57" i="2"/>
  <c r="CF57" i="2"/>
  <c r="CK57" i="2" s="1"/>
  <c r="CQ55" i="2"/>
  <c r="EO53" i="2"/>
  <c r="ES53" i="2"/>
  <c r="ET53" i="2"/>
  <c r="EQ53" i="2"/>
  <c r="EU53" i="2"/>
  <c r="EX53" i="2"/>
  <c r="EW53" i="2"/>
  <c r="EN69" i="2"/>
  <c r="EV68" i="2"/>
  <c r="ER68" i="2"/>
  <c r="EM67" i="2"/>
  <c r="ER66" i="2"/>
  <c r="BL66" i="2"/>
  <c r="BM66" i="2" s="1"/>
  <c r="EN65" i="2"/>
  <c r="CK65" i="2"/>
  <c r="CJ65" i="2"/>
  <c r="CO65" i="2"/>
  <c r="CL65" i="2"/>
  <c r="CG65" i="2"/>
  <c r="CP65" i="2"/>
  <c r="CN65" i="2"/>
  <c r="CI65" i="2"/>
  <c r="EO64" i="2"/>
  <c r="EQ59" i="2"/>
  <c r="EU59" i="2"/>
  <c r="ER59" i="2"/>
  <c r="EV59" i="2"/>
  <c r="ES59" i="2"/>
  <c r="EQ58" i="2"/>
  <c r="ER58" i="2"/>
  <c r="EV58" i="2"/>
  <c r="ES58" i="2"/>
  <c r="ET58" i="2"/>
  <c r="EN58" i="2"/>
  <c r="EU58" i="2"/>
  <c r="EP58" i="2"/>
  <c r="EQ55" i="2"/>
  <c r="EU55" i="2"/>
  <c r="ER55" i="2"/>
  <c r="EV55" i="2"/>
  <c r="ES55" i="2"/>
  <c r="EN53" i="2"/>
  <c r="CF69" i="2"/>
  <c r="CQ69" i="2" s="1"/>
  <c r="CI69" i="2"/>
  <c r="EP68" i="2"/>
  <c r="CP67" i="2"/>
  <c r="CG67" i="2"/>
  <c r="CF67" i="2"/>
  <c r="CO67" i="2" s="1"/>
  <c r="GY66" i="2"/>
  <c r="EP66" i="2"/>
  <c r="GZ66" i="2" s="1"/>
  <c r="EX66" i="2"/>
  <c r="ET66" i="2"/>
  <c r="CQ65" i="2"/>
  <c r="ET65" i="2"/>
  <c r="CM65" i="2"/>
  <c r="CH65" i="2"/>
  <c r="ES63" i="2"/>
  <c r="EM63" i="2"/>
  <c r="EP63" i="2" s="1"/>
  <c r="EN63" i="2"/>
  <c r="CL63" i="2"/>
  <c r="CF63" i="2"/>
  <c r="CP63" i="2" s="1"/>
  <c r="EO61" i="2"/>
  <c r="ES61" i="2"/>
  <c r="ET61" i="2"/>
  <c r="EQ61" i="2"/>
  <c r="EU61" i="2"/>
  <c r="EX61" i="2"/>
  <c r="EW61" i="2"/>
  <c r="EN61" i="2"/>
  <c r="ES60" i="2"/>
  <c r="EM60" i="2"/>
  <c r="EW60" i="2" s="1"/>
  <c r="EN60" i="2"/>
  <c r="CL60" i="2"/>
  <c r="CF60" i="2"/>
  <c r="CP60" i="2" s="1"/>
  <c r="CF59" i="2"/>
  <c r="EX58" i="2"/>
  <c r="EO58" i="2"/>
  <c r="ES56" i="2"/>
  <c r="EM56" i="2"/>
  <c r="EW56" i="2" s="1"/>
  <c r="EN56" i="2"/>
  <c r="CL56" i="2"/>
  <c r="CF56" i="2"/>
  <c r="CP56" i="2" s="1"/>
  <c r="CF55" i="2"/>
  <c r="EW52" i="2"/>
  <c r="EM52" i="2"/>
  <c r="EN52" i="2" s="1"/>
  <c r="EV61" i="2"/>
  <c r="ER61" i="2"/>
  <c r="CF61" i="2"/>
  <c r="BL59" i="2"/>
  <c r="BM59" i="2" s="1"/>
  <c r="CK58" i="2"/>
  <c r="CJ58" i="2"/>
  <c r="CO58" i="2"/>
  <c r="CL58" i="2"/>
  <c r="CG58" i="2"/>
  <c r="CP58" i="2"/>
  <c r="CN58" i="2"/>
  <c r="CI58" i="2"/>
  <c r="BL55" i="2"/>
  <c r="BM55" i="2" s="1"/>
  <c r="CP52" i="2"/>
  <c r="CL52" i="2"/>
  <c r="CG52" i="2"/>
  <c r="CF52" i="2"/>
  <c r="CK51" i="2"/>
  <c r="CI51" i="2"/>
  <c r="CN51" i="2"/>
  <c r="CJ51" i="2"/>
  <c r="CO51" i="2"/>
  <c r="CP51" i="2"/>
  <c r="CL51" i="2"/>
  <c r="CG51" i="2"/>
  <c r="GZ50" i="2"/>
  <c r="EN66" i="2"/>
  <c r="EP61" i="2"/>
  <c r="EX59" i="2"/>
  <c r="ET59" i="2"/>
  <c r="EO59" i="2"/>
  <c r="CQ58" i="2"/>
  <c r="CM58" i="2"/>
  <c r="CH58" i="2"/>
  <c r="EV57" i="2"/>
  <c r="EM57" i="2"/>
  <c r="EX55" i="2"/>
  <c r="ET55" i="2"/>
  <c r="EO55" i="2"/>
  <c r="CK54" i="2"/>
  <c r="CJ54" i="2"/>
  <c r="CI54" i="2"/>
  <c r="EV53" i="2"/>
  <c r="ER53" i="2"/>
  <c r="BL51" i="2"/>
  <c r="BM51" i="2" s="1"/>
  <c r="CK50" i="2"/>
  <c r="CJ50" i="2"/>
  <c r="CO50" i="2"/>
  <c r="CL50" i="2"/>
  <c r="CG50" i="2"/>
  <c r="CP50" i="2"/>
  <c r="CN50" i="2"/>
  <c r="CI50" i="2"/>
  <c r="CH49" i="2"/>
  <c r="CK49" i="2"/>
  <c r="CO49" i="2"/>
  <c r="CP49" i="2"/>
  <c r="CM49" i="2"/>
  <c r="CQ49" i="2"/>
  <c r="CI49" i="2"/>
  <c r="EM48" i="2"/>
  <c r="CO54" i="2"/>
  <c r="EQ54" i="2"/>
  <c r="HA54" i="2" s="1"/>
  <c r="ER54" i="2"/>
  <c r="EY54" i="2" s="1"/>
  <c r="EV54" i="2"/>
  <c r="EU54" i="2"/>
  <c r="CG54" i="2"/>
  <c r="CM54" i="2"/>
  <c r="CZ54" i="2" s="1"/>
  <c r="CH54" i="2"/>
  <c r="EP53" i="2"/>
  <c r="CQ50" i="2"/>
  <c r="CM50" i="2"/>
  <c r="CH50" i="2"/>
  <c r="EQ49" i="2"/>
  <c r="EO49" i="2"/>
  <c r="EY49" i="2" s="1"/>
  <c r="ET49" i="2"/>
  <c r="EW49" i="2"/>
  <c r="EV49" i="2"/>
  <c r="EU49" i="2"/>
  <c r="EP49" i="2"/>
  <c r="HA49" i="2" s="1"/>
  <c r="EN59" i="2"/>
  <c r="EN55" i="2"/>
  <c r="EX54" i="2"/>
  <c r="ET54" i="2"/>
  <c r="EO54" i="2"/>
  <c r="CO53" i="2"/>
  <c r="CF53" i="2"/>
  <c r="EM51" i="2"/>
  <c r="EO51" i="2" s="1"/>
  <c r="CQ51" i="2"/>
  <c r="CM51" i="2"/>
  <c r="CH51" i="2"/>
  <c r="EQ50" i="2"/>
  <c r="EY50" i="2" s="1"/>
  <c r="ER50" i="2"/>
  <c r="EV50" i="2"/>
  <c r="ES50" i="2"/>
  <c r="EU50" i="2"/>
  <c r="EP50" i="2"/>
  <c r="GY50" i="2" s="1"/>
  <c r="CK48" i="2"/>
  <c r="CP48" i="2"/>
  <c r="CL48" i="2"/>
  <c r="CG48" i="2"/>
  <c r="CF48" i="2"/>
  <c r="CL45" i="2"/>
  <c r="CG45" i="2"/>
  <c r="CK45" i="2"/>
  <c r="CN45" i="2"/>
  <c r="CM45" i="2"/>
  <c r="CP45" i="2"/>
  <c r="CI45" i="2"/>
  <c r="ES49" i="2"/>
  <c r="CL49" i="2"/>
  <c r="CG49" i="2"/>
  <c r="EM47" i="2"/>
  <c r="EQ46" i="2"/>
  <c r="ES46" i="2"/>
  <c r="EU46" i="2"/>
  <c r="EP46" i="2"/>
  <c r="HA46" i="2" s="1"/>
  <c r="ES44" i="2"/>
  <c r="EM44" i="2"/>
  <c r="EW44" i="2" s="1"/>
  <c r="EN44" i="2"/>
  <c r="CJ49" i="2"/>
  <c r="CF47" i="2"/>
  <c r="CM47" i="2" s="1"/>
  <c r="EX46" i="2"/>
  <c r="EO46" i="2"/>
  <c r="CF46" i="2"/>
  <c r="CL46" i="2" s="1"/>
  <c r="CF44" i="2"/>
  <c r="EV43" i="2"/>
  <c r="ER43" i="2"/>
  <c r="CJ43" i="2"/>
  <c r="EM45" i="2"/>
  <c r="EQ45" i="2" s="1"/>
  <c r="CO45" i="2"/>
  <c r="CJ45" i="2"/>
  <c r="EU44" i="2"/>
  <c r="EP44" i="2"/>
  <c r="EU42" i="2"/>
  <c r="EP42" i="2"/>
  <c r="EU41" i="2"/>
  <c r="EP41" i="2"/>
  <c r="ET43" i="2"/>
  <c r="CM42" i="2"/>
  <c r="CG41" i="2"/>
  <c r="CL41" i="2"/>
  <c r="CH45" i="2"/>
  <c r="EN43" i="2"/>
  <c r="CF43" i="2"/>
  <c r="CH41" i="2"/>
  <c r="CJ41" i="2"/>
  <c r="AV41" i="2" s="1"/>
  <c r="EN42" i="2"/>
  <c r="CF42" i="2"/>
  <c r="CN41" i="2"/>
  <c r="CI41" i="2"/>
  <c r="CM41" i="2"/>
  <c r="AV20" i="2" l="1"/>
  <c r="HA36" i="1"/>
  <c r="DF41" i="2"/>
  <c r="CK44" i="2"/>
  <c r="CM44" i="2"/>
  <c r="CQ44" i="2"/>
  <c r="CJ44" i="2"/>
  <c r="CO44" i="2"/>
  <c r="CH44" i="2"/>
  <c r="EQ47" i="2"/>
  <c r="ES47" i="2"/>
  <c r="EV47" i="2"/>
  <c r="EP47" i="2"/>
  <c r="ER47" i="2"/>
  <c r="EX47" i="2"/>
  <c r="EU47" i="2"/>
  <c r="EP48" i="2"/>
  <c r="EO48" i="2"/>
  <c r="ER48" i="2"/>
  <c r="EX48" i="2"/>
  <c r="EU48" i="2"/>
  <c r="DM50" i="2"/>
  <c r="DB50" i="2"/>
  <c r="EZ50" i="2"/>
  <c r="GZ59" i="2"/>
  <c r="GY59" i="2"/>
  <c r="EY53" i="2"/>
  <c r="HA53" i="2"/>
  <c r="DM65" i="2"/>
  <c r="DB65" i="2"/>
  <c r="EZ65" i="2"/>
  <c r="EP67" i="2"/>
  <c r="ET67" i="2"/>
  <c r="ER67" i="2"/>
  <c r="EX67" i="2"/>
  <c r="EU67" i="2"/>
  <c r="EQ67" i="2"/>
  <c r="EV67" i="2"/>
  <c r="EO67" i="2"/>
  <c r="DA42" i="2"/>
  <c r="DO42" i="2"/>
  <c r="DA66" i="2"/>
  <c r="AI66" i="2"/>
  <c r="DO66" i="2"/>
  <c r="FB66" i="2"/>
  <c r="AV10" i="1"/>
  <c r="DP10" i="1"/>
  <c r="EQ72" i="2"/>
  <c r="EU72" i="2"/>
  <c r="ES72" i="2"/>
  <c r="EV72" i="2"/>
  <c r="EP72" i="2"/>
  <c r="ER72" i="2"/>
  <c r="DP79" i="2"/>
  <c r="AV79" i="2"/>
  <c r="AV75" i="2"/>
  <c r="DP75" i="2"/>
  <c r="GY78" i="2"/>
  <c r="GZ78" i="2"/>
  <c r="CL16" i="1"/>
  <c r="CG16" i="1"/>
  <c r="CI16" i="1"/>
  <c r="CM16" i="1"/>
  <c r="CP16" i="1"/>
  <c r="CQ16" i="1"/>
  <c r="CN16" i="1"/>
  <c r="CO16" i="1"/>
  <c r="AV17" i="1"/>
  <c r="DP17" i="1"/>
  <c r="DA19" i="1"/>
  <c r="DO19" i="1"/>
  <c r="EP15" i="1"/>
  <c r="CQ42" i="2"/>
  <c r="CK42" i="2"/>
  <c r="CI42" i="2"/>
  <c r="CN42" i="2"/>
  <c r="CJ42" i="2"/>
  <c r="CH42" i="2"/>
  <c r="FB42" i="2" s="1"/>
  <c r="CO42" i="2"/>
  <c r="CH43" i="2"/>
  <c r="CK43" i="2"/>
  <c r="CM43" i="2"/>
  <c r="CI43" i="2"/>
  <c r="CN43" i="2"/>
  <c r="CP43" i="2"/>
  <c r="DA41" i="2"/>
  <c r="AI41" i="2"/>
  <c r="FA41" i="2"/>
  <c r="DO41" i="2"/>
  <c r="FB41" i="2"/>
  <c r="CQ43" i="2"/>
  <c r="CI44" i="2"/>
  <c r="ET45" i="2"/>
  <c r="CO43" i="2"/>
  <c r="CG44" i="2"/>
  <c r="CG46" i="2"/>
  <c r="EN51" i="2"/>
  <c r="CH47" i="2"/>
  <c r="EW47" i="2"/>
  <c r="DM45" i="2"/>
  <c r="DB45" i="2"/>
  <c r="EZ45" i="2"/>
  <c r="AV45" i="2"/>
  <c r="DP45" i="2"/>
  <c r="CI47" i="2"/>
  <c r="CQ48" i="2"/>
  <c r="CI48" i="2"/>
  <c r="CJ48" i="2"/>
  <c r="DP48" i="2" s="1"/>
  <c r="CH48" i="2"/>
  <c r="CM48" i="2"/>
  <c r="CN48" i="2"/>
  <c r="CO48" i="2"/>
  <c r="EO47" i="2"/>
  <c r="EW51" i="2"/>
  <c r="GZ54" i="2"/>
  <c r="GY54" i="2"/>
  <c r="HA59" i="2"/>
  <c r="EY59" i="2"/>
  <c r="EQ48" i="2"/>
  <c r="ES48" i="2"/>
  <c r="DB49" i="2"/>
  <c r="EZ49" i="2"/>
  <c r="DM49" i="2"/>
  <c r="HA50" i="2"/>
  <c r="DA51" i="2"/>
  <c r="AI51" i="2"/>
  <c r="DO51" i="2"/>
  <c r="FB51" i="2"/>
  <c r="CQ52" i="2"/>
  <c r="CK52" i="2"/>
  <c r="CM52" i="2"/>
  <c r="CI52" i="2"/>
  <c r="CN52" i="2"/>
  <c r="FB52" i="2" s="1"/>
  <c r="CJ52" i="2"/>
  <c r="CO52" i="2"/>
  <c r="CH52" i="2"/>
  <c r="CK55" i="2"/>
  <c r="CI55" i="2"/>
  <c r="CN55" i="2"/>
  <c r="CJ55" i="2"/>
  <c r="CO55" i="2"/>
  <c r="CL55" i="2"/>
  <c r="CG55" i="2"/>
  <c r="CP55" i="2"/>
  <c r="CK59" i="2"/>
  <c r="CI59" i="2"/>
  <c r="CN59" i="2"/>
  <c r="CJ59" i="2"/>
  <c r="CO59" i="2"/>
  <c r="CL59" i="2"/>
  <c r="CG59" i="2"/>
  <c r="CP59" i="2"/>
  <c r="GY61" i="2"/>
  <c r="GZ61" i="2"/>
  <c r="EW63" i="2"/>
  <c r="CL67" i="2"/>
  <c r="GZ64" i="2"/>
  <c r="ES67" i="2"/>
  <c r="GY53" i="2"/>
  <c r="GZ53" i="2"/>
  <c r="CH59" i="2"/>
  <c r="HA41" i="2"/>
  <c r="EY41" i="2"/>
  <c r="CL42" i="2"/>
  <c r="GY42" i="2"/>
  <c r="GZ42" i="2"/>
  <c r="CG43" i="2"/>
  <c r="ES64" i="2"/>
  <c r="EW64" i="2"/>
  <c r="ET64" i="2"/>
  <c r="GY64" i="2" s="1"/>
  <c r="EN64" i="2"/>
  <c r="EU64" i="2"/>
  <c r="EQ64" i="2"/>
  <c r="EX64" i="2"/>
  <c r="CM69" i="2"/>
  <c r="CJ64" i="2"/>
  <c r="DN66" i="2"/>
  <c r="CZ66" i="2"/>
  <c r="AV66" i="2"/>
  <c r="DP66" i="2"/>
  <c r="CK71" i="2"/>
  <c r="CJ71" i="2"/>
  <c r="CO71" i="2"/>
  <c r="CL71" i="2"/>
  <c r="CP71" i="2"/>
  <c r="CG71" i="2"/>
  <c r="CQ71" i="2"/>
  <c r="CZ75" i="2"/>
  <c r="DN75" i="2"/>
  <c r="DA76" i="2"/>
  <c r="DO76" i="2"/>
  <c r="EQ79" i="2"/>
  <c r="ER79" i="2"/>
  <c r="EV79" i="2"/>
  <c r="EP79" i="2"/>
  <c r="EW79" i="2"/>
  <c r="EN79" i="2"/>
  <c r="ES79" i="2"/>
  <c r="ET79" i="2"/>
  <c r="EN10" i="1"/>
  <c r="DM70" i="2"/>
  <c r="DB70" i="2"/>
  <c r="EZ70" i="2"/>
  <c r="DO70" i="2"/>
  <c r="FA70" i="2"/>
  <c r="FB70" i="2"/>
  <c r="DA70" i="2"/>
  <c r="AI70" i="2"/>
  <c r="EW72" i="2"/>
  <c r="CG77" i="2"/>
  <c r="CK12" i="1"/>
  <c r="CG12" i="1"/>
  <c r="CJ12" i="1"/>
  <c r="CH12" i="1"/>
  <c r="CP12" i="1"/>
  <c r="CQ12" i="1"/>
  <c r="CN12" i="1"/>
  <c r="CO12" i="1"/>
  <c r="CQ73" i="2"/>
  <c r="CI73" i="2"/>
  <c r="CJ73" i="2"/>
  <c r="FB73" i="2" s="1"/>
  <c r="CH73" i="2"/>
  <c r="CM73" i="2"/>
  <c r="CN73" i="2"/>
  <c r="CO73" i="2"/>
  <c r="CZ11" i="1"/>
  <c r="EY68" i="2"/>
  <c r="HA68" i="2"/>
  <c r="CH71" i="2"/>
  <c r="DM71" i="2" s="1"/>
  <c r="FA74" i="2"/>
  <c r="DO74" i="2"/>
  <c r="FB74" i="2"/>
  <c r="AI74" i="2"/>
  <c r="DA74" i="2"/>
  <c r="EO9" i="1"/>
  <c r="EQ9" i="1"/>
  <c r="EU9" i="1"/>
  <c r="EP9" i="1"/>
  <c r="EV9" i="1"/>
  <c r="ER9" i="1"/>
  <c r="EX9" i="1"/>
  <c r="EY78" i="2"/>
  <c r="HA78" i="2"/>
  <c r="HA12" i="1"/>
  <c r="EY12" i="1"/>
  <c r="HA14" i="1"/>
  <c r="EY14" i="1"/>
  <c r="EW20" i="1"/>
  <c r="EO72" i="2"/>
  <c r="GY74" i="2"/>
  <c r="GZ74" i="2"/>
  <c r="CL12" i="1"/>
  <c r="AV14" i="1"/>
  <c r="DP14" i="1"/>
  <c r="CK15" i="1"/>
  <c r="CM15" i="1"/>
  <c r="CI15" i="1"/>
  <c r="CH15" i="1"/>
  <c r="AI15" i="1" s="1"/>
  <c r="CJ15" i="1"/>
  <c r="CQ15" i="1"/>
  <c r="CN15" i="1"/>
  <c r="CO15" i="1"/>
  <c r="CP15" i="1"/>
  <c r="CJ16" i="1"/>
  <c r="CK18" i="1"/>
  <c r="CJ18" i="1"/>
  <c r="CZ18" i="1" s="1"/>
  <c r="CH18" i="1"/>
  <c r="CN18" i="1"/>
  <c r="CO18" i="1"/>
  <c r="CP18" i="1"/>
  <c r="CQ18" i="1"/>
  <c r="DA20" i="1"/>
  <c r="FB20" i="1"/>
  <c r="AI20" i="1"/>
  <c r="DO20" i="1"/>
  <c r="DB22" i="1"/>
  <c r="DM22" i="1"/>
  <c r="EZ22" i="1"/>
  <c r="DB27" i="1"/>
  <c r="DM27" i="1"/>
  <c r="EZ27" i="1"/>
  <c r="AI27" i="1"/>
  <c r="ER17" i="1"/>
  <c r="DB20" i="1"/>
  <c r="DM20" i="1"/>
  <c r="EZ20" i="1"/>
  <c r="FA20" i="1" s="1"/>
  <c r="EO20" i="1"/>
  <c r="DA22" i="1"/>
  <c r="AI22" i="1"/>
  <c r="FB22" i="1"/>
  <c r="DO22" i="1"/>
  <c r="FA22" i="1"/>
  <c r="ES22" i="1"/>
  <c r="CZ23" i="1"/>
  <c r="CK25" i="1"/>
  <c r="CH25" i="1"/>
  <c r="CJ25" i="1"/>
  <c r="CQ25" i="1"/>
  <c r="CP25" i="1"/>
  <c r="CN25" i="1"/>
  <c r="CO25" i="1"/>
  <c r="ET25" i="1"/>
  <c r="ER27" i="1"/>
  <c r="EO19" i="1"/>
  <c r="EP19" i="1"/>
  <c r="EV19" i="1"/>
  <c r="ER19" i="1"/>
  <c r="HA19" i="1" s="1"/>
  <c r="EX19" i="1"/>
  <c r="CM25" i="1"/>
  <c r="CZ25" i="1" s="1"/>
  <c r="EO26" i="1"/>
  <c r="ET26" i="1"/>
  <c r="EP26" i="1"/>
  <c r="ER26" i="1"/>
  <c r="EY26" i="1" s="1"/>
  <c r="EV26" i="1"/>
  <c r="EX26" i="1"/>
  <c r="GN2" i="1"/>
  <c r="CH16" i="1"/>
  <c r="ER25" i="1"/>
  <c r="ET27" i="1"/>
  <c r="HA30" i="1"/>
  <c r="EY30" i="1"/>
  <c r="GT35" i="1"/>
  <c r="GY38" i="1"/>
  <c r="GZ38" i="1"/>
  <c r="EQ11" i="2"/>
  <c r="EU11" i="2"/>
  <c r="EN11" i="2"/>
  <c r="EO11" i="2"/>
  <c r="ER11" i="2"/>
  <c r="EV11" i="2"/>
  <c r="ES11" i="2"/>
  <c r="EW11" i="2"/>
  <c r="ET11" i="2"/>
  <c r="EX11" i="2"/>
  <c r="DB30" i="1"/>
  <c r="DM30" i="1"/>
  <c r="EZ30" i="1"/>
  <c r="FA30" i="1" s="1"/>
  <c r="DN33" i="1"/>
  <c r="EZ35" i="1"/>
  <c r="DB37" i="1"/>
  <c r="DM37" i="1"/>
  <c r="EZ37" i="1"/>
  <c r="AI37" i="1"/>
  <c r="AV37" i="1"/>
  <c r="DP37" i="1"/>
  <c r="CM38" i="1"/>
  <c r="ER39" i="1"/>
  <c r="EP9" i="2"/>
  <c r="ES9" i="2"/>
  <c r="ET9" i="2"/>
  <c r="EQ9" i="2"/>
  <c r="EU9" i="2"/>
  <c r="ER9" i="2"/>
  <c r="HA9" i="2" s="1"/>
  <c r="EO9" i="2"/>
  <c r="EX9" i="2"/>
  <c r="DB8" i="1"/>
  <c r="EZ8" i="1"/>
  <c r="FA8" i="1" s="1"/>
  <c r="DM8" i="1"/>
  <c r="HA31" i="1"/>
  <c r="EY31" i="1"/>
  <c r="GY33" i="1"/>
  <c r="GZ33" i="1"/>
  <c r="CG39" i="1"/>
  <c r="GT8" i="1"/>
  <c r="GT2" i="1" s="1"/>
  <c r="GQ2" i="1"/>
  <c r="ET8" i="1"/>
  <c r="ET29" i="2"/>
  <c r="EO29" i="2"/>
  <c r="ER29" i="2"/>
  <c r="EV29" i="2"/>
  <c r="ES29" i="2"/>
  <c r="EU29" i="2"/>
  <c r="EP29" i="2"/>
  <c r="EX29" i="2"/>
  <c r="EQ29" i="2"/>
  <c r="EN29" i="2"/>
  <c r="EQ40" i="2"/>
  <c r="EU40" i="2"/>
  <c r="ES40" i="2"/>
  <c r="ET40" i="2"/>
  <c r="EX40" i="2"/>
  <c r="EW40" i="2"/>
  <c r="ET17" i="2"/>
  <c r="EQ17" i="2"/>
  <c r="EU17" i="2"/>
  <c r="EO17" i="2"/>
  <c r="ER17" i="2"/>
  <c r="HA17" i="2" s="1"/>
  <c r="EV17" i="2"/>
  <c r="EP17" i="2"/>
  <c r="EX17" i="2"/>
  <c r="EP36" i="2"/>
  <c r="GZ36" i="2" s="1"/>
  <c r="AV36" i="1"/>
  <c r="DP36" i="1"/>
  <c r="EQ13" i="2"/>
  <c r="EU13" i="2"/>
  <c r="EP13" i="2"/>
  <c r="GY13" i="2" s="1"/>
  <c r="ET13" i="2"/>
  <c r="EV13" i="2"/>
  <c r="EX13" i="2"/>
  <c r="EQ16" i="2"/>
  <c r="EU16" i="2"/>
  <c r="EO16" i="2"/>
  <c r="ER16" i="2"/>
  <c r="EV16" i="2"/>
  <c r="ES16" i="2"/>
  <c r="EW16" i="2"/>
  <c r="EX16" i="2"/>
  <c r="CH23" i="2"/>
  <c r="CP23" i="2"/>
  <c r="CQ23" i="2"/>
  <c r="CN23" i="2"/>
  <c r="CM23" i="2"/>
  <c r="CI23" i="2"/>
  <c r="CO23" i="2"/>
  <c r="EW13" i="2"/>
  <c r="EP30" i="2"/>
  <c r="EV36" i="2"/>
  <c r="HA39" i="2"/>
  <c r="EY39" i="2"/>
  <c r="CH39" i="2"/>
  <c r="DM28" i="2"/>
  <c r="DB28" i="2"/>
  <c r="EZ28" i="2"/>
  <c r="FA28" i="2" s="1"/>
  <c r="FC28" i="2" s="1"/>
  <c r="FD28" i="2" s="1"/>
  <c r="DN30" i="2"/>
  <c r="CZ30" i="2"/>
  <c r="DP32" i="2"/>
  <c r="AV32" i="2"/>
  <c r="ES37" i="2"/>
  <c r="V15" i="6"/>
  <c r="Y15" i="6"/>
  <c r="CH40" i="2"/>
  <c r="DB29" i="2"/>
  <c r="EZ29" i="2"/>
  <c r="FA29" i="2" s="1"/>
  <c r="FC29" i="2" s="1"/>
  <c r="FD29" i="2" s="1"/>
  <c r="DM29" i="2"/>
  <c r="CZ31" i="2"/>
  <c r="DN31" i="2"/>
  <c r="DP33" i="2"/>
  <c r="AV33" i="2"/>
  <c r="FB33" i="2"/>
  <c r="CZ32" i="2"/>
  <c r="CM22" i="2"/>
  <c r="CO25" i="2"/>
  <c r="ES17" i="2"/>
  <c r="GZ31" i="2"/>
  <c r="GY31" i="2"/>
  <c r="DP30" i="2"/>
  <c r="AV30" i="2"/>
  <c r="CM27" i="2"/>
  <c r="CJ23" i="2"/>
  <c r="ES40" i="1"/>
  <c r="CG23" i="2"/>
  <c r="CM26" i="2"/>
  <c r="CJ17" i="2"/>
  <c r="CN17" i="2"/>
  <c r="CG17" i="2"/>
  <c r="CK17" i="2"/>
  <c r="CO17" i="2"/>
  <c r="CH17" i="2"/>
  <c r="CL17" i="2"/>
  <c r="CP17" i="2"/>
  <c r="CI17" i="2"/>
  <c r="CM17" i="2"/>
  <c r="ET30" i="2"/>
  <c r="CZ29" i="2"/>
  <c r="AI28" i="2"/>
  <c r="CO21" i="2"/>
  <c r="DA16" i="2"/>
  <c r="DO16" i="2"/>
  <c r="GY20" i="2"/>
  <c r="GZ20" i="2"/>
  <c r="CK23" i="2"/>
  <c r="AV13" i="2"/>
  <c r="DP13" i="2"/>
  <c r="EV40" i="2"/>
  <c r="CQ17" i="2"/>
  <c r="EV18" i="2"/>
  <c r="GZ46" i="2"/>
  <c r="GY46" i="2"/>
  <c r="EQ51" i="2"/>
  <c r="EU51" i="2"/>
  <c r="ER51" i="2"/>
  <c r="EV51" i="2"/>
  <c r="EP51" i="2"/>
  <c r="GZ51" i="2" s="1"/>
  <c r="ES51" i="2"/>
  <c r="AV51" i="2"/>
  <c r="DP51" i="2"/>
  <c r="DM58" i="2"/>
  <c r="DB58" i="2"/>
  <c r="EZ58" i="2"/>
  <c r="DA67" i="2"/>
  <c r="DO67" i="2"/>
  <c r="HA58" i="2"/>
  <c r="EY58" i="2"/>
  <c r="HA65" i="2"/>
  <c r="EY65" i="2"/>
  <c r="DM66" i="2"/>
  <c r="EZ66" i="2"/>
  <c r="FA66" i="2" s="1"/>
  <c r="DB66" i="2"/>
  <c r="CK72" i="2"/>
  <c r="CI72" i="2"/>
  <c r="CN72" i="2"/>
  <c r="CP72" i="2"/>
  <c r="CG72" i="2"/>
  <c r="CJ72" i="2"/>
  <c r="CH72" i="2"/>
  <c r="CL72" i="2"/>
  <c r="CO72" i="2"/>
  <c r="DM79" i="2"/>
  <c r="DB79" i="2"/>
  <c r="EZ79" i="2"/>
  <c r="DA13" i="1"/>
  <c r="DO13" i="1"/>
  <c r="GZ71" i="2"/>
  <c r="GY71" i="2"/>
  <c r="GY70" i="2"/>
  <c r="GZ70" i="2"/>
  <c r="EP73" i="2"/>
  <c r="ET73" i="2"/>
  <c r="EO73" i="2"/>
  <c r="ER73" i="2"/>
  <c r="EX73" i="2"/>
  <c r="EU73" i="2"/>
  <c r="DM75" i="2"/>
  <c r="DB75" i="2"/>
  <c r="EZ75" i="2"/>
  <c r="HA9" i="1"/>
  <c r="HA11" i="1"/>
  <c r="EY11" i="1"/>
  <c r="DA18" i="1"/>
  <c r="DO18" i="1"/>
  <c r="EN23" i="1"/>
  <c r="EW23" i="1"/>
  <c r="ES23" i="1"/>
  <c r="EQ23" i="1"/>
  <c r="EU23" i="1"/>
  <c r="EO23" i="1"/>
  <c r="EX23" i="1"/>
  <c r="HA42" i="2"/>
  <c r="EY42" i="2"/>
  <c r="EY43" i="2"/>
  <c r="HA43" i="2"/>
  <c r="HA44" i="2"/>
  <c r="DA45" i="2"/>
  <c r="AI45" i="2"/>
  <c r="FA45" i="2"/>
  <c r="DO45" i="2"/>
  <c r="FB45" i="2"/>
  <c r="DA48" i="2"/>
  <c r="AI48" i="2"/>
  <c r="DO48" i="2"/>
  <c r="EY46" i="2"/>
  <c r="EV48" i="2"/>
  <c r="ET51" i="2"/>
  <c r="EW48" i="2"/>
  <c r="DP49" i="2"/>
  <c r="AV49" i="2"/>
  <c r="DM54" i="2"/>
  <c r="EZ54" i="2"/>
  <c r="DB54" i="2"/>
  <c r="EO57" i="2"/>
  <c r="ES57" i="2"/>
  <c r="EW57" i="2"/>
  <c r="ET57" i="2"/>
  <c r="EN57" i="2"/>
  <c r="EU57" i="2"/>
  <c r="EX57" i="2"/>
  <c r="EQ57" i="2"/>
  <c r="HA66" i="2"/>
  <c r="EY66" i="2"/>
  <c r="DN51" i="2"/>
  <c r="CZ51" i="2"/>
  <c r="DA52" i="2"/>
  <c r="AI52" i="2"/>
  <c r="DO52" i="2"/>
  <c r="CH61" i="2"/>
  <c r="CL61" i="2"/>
  <c r="CG61" i="2"/>
  <c r="CP61" i="2"/>
  <c r="CM61" i="2"/>
  <c r="CN61" i="2"/>
  <c r="CK61" i="2"/>
  <c r="CI61" i="2"/>
  <c r="CQ61" i="2"/>
  <c r="EP52" i="2"/>
  <c r="HA52" i="2" s="1"/>
  <c r="ET52" i="2"/>
  <c r="EQ52" i="2"/>
  <c r="EU52" i="2"/>
  <c r="EX52" i="2"/>
  <c r="EV52" i="2"/>
  <c r="EO52" i="2"/>
  <c r="ER52" i="2"/>
  <c r="CQ56" i="2"/>
  <c r="CK56" i="2"/>
  <c r="CM56" i="2"/>
  <c r="DN56" i="2" s="1"/>
  <c r="CI56" i="2"/>
  <c r="CN56" i="2"/>
  <c r="CJ56" i="2"/>
  <c r="CO56" i="2"/>
  <c r="CH56" i="2"/>
  <c r="CQ60" i="2"/>
  <c r="CK60" i="2"/>
  <c r="CM60" i="2"/>
  <c r="CI60" i="2"/>
  <c r="CJ60" i="2"/>
  <c r="CZ60" i="2" s="1"/>
  <c r="CN60" i="2"/>
  <c r="CO60" i="2"/>
  <c r="CH60" i="2"/>
  <c r="CJ61" i="2"/>
  <c r="EY61" i="2"/>
  <c r="HA61" i="2"/>
  <c r="CQ63" i="2"/>
  <c r="CK63" i="2"/>
  <c r="CM63" i="2"/>
  <c r="CI63" i="2"/>
  <c r="CN63" i="2"/>
  <c r="CH63" i="2"/>
  <c r="CO63" i="2"/>
  <c r="CJ63" i="2"/>
  <c r="DN63" i="2" s="1"/>
  <c r="CH64" i="2"/>
  <c r="HB66" i="2"/>
  <c r="HC66" i="2" s="1"/>
  <c r="DB69" i="2"/>
  <c r="DM69" i="2"/>
  <c r="EW67" i="2"/>
  <c r="EY69" i="2"/>
  <c r="HA69" i="2"/>
  <c r="CH55" i="2"/>
  <c r="CH57" i="2"/>
  <c r="CL57" i="2"/>
  <c r="CG57" i="2"/>
  <c r="CP57" i="2"/>
  <c r="CQ57" i="2"/>
  <c r="CI57" i="2"/>
  <c r="CN57" i="2"/>
  <c r="CM57" i="2"/>
  <c r="CM59" i="2"/>
  <c r="GZ41" i="2"/>
  <c r="GY41" i="2"/>
  <c r="CP42" i="2"/>
  <c r="CL43" i="2"/>
  <c r="ET10" i="1"/>
  <c r="EQ10" i="1"/>
  <c r="EU10" i="1"/>
  <c r="EP10" i="1"/>
  <c r="GY10" i="1" s="1"/>
  <c r="EV10" i="1"/>
  <c r="EX10" i="1"/>
  <c r="DT11" i="1"/>
  <c r="DU11" i="1" s="1"/>
  <c r="CZ70" i="2"/>
  <c r="DN70" i="2"/>
  <c r="CQ72" i="2"/>
  <c r="GZ75" i="2"/>
  <c r="GY75" i="2"/>
  <c r="CJ9" i="1"/>
  <c r="CH9" i="1"/>
  <c r="CM9" i="1"/>
  <c r="CZ9" i="1" s="1"/>
  <c r="CK9" i="1"/>
  <c r="CI9" i="1"/>
  <c r="CO9" i="1"/>
  <c r="CP9" i="1"/>
  <c r="CQ9" i="1"/>
  <c r="CN9" i="1"/>
  <c r="GY65" i="2"/>
  <c r="DA73" i="2"/>
  <c r="AI73" i="2"/>
  <c r="DO73" i="2"/>
  <c r="DO75" i="2"/>
  <c r="FB75" i="2"/>
  <c r="AI75" i="2"/>
  <c r="FA75" i="2"/>
  <c r="DA75" i="2"/>
  <c r="EP77" i="2"/>
  <c r="ET77" i="2"/>
  <c r="EQ77" i="2"/>
  <c r="ER77" i="2"/>
  <c r="HA77" i="2" s="1"/>
  <c r="EX77" i="2"/>
  <c r="EU77" i="2"/>
  <c r="EO77" i="2"/>
  <c r="EV77" i="2"/>
  <c r="CH78" i="2"/>
  <c r="CL78" i="2"/>
  <c r="CG78" i="2"/>
  <c r="CP78" i="2"/>
  <c r="CM78" i="2"/>
  <c r="CQ78" i="2"/>
  <c r="CK78" i="2"/>
  <c r="CI78" i="2"/>
  <c r="CM71" i="2"/>
  <c r="EW73" i="2"/>
  <c r="CZ74" i="2"/>
  <c r="DN74" i="2"/>
  <c r="HA75" i="2"/>
  <c r="EO79" i="2"/>
  <c r="DA10" i="1"/>
  <c r="FB10" i="1"/>
  <c r="FC10" i="1" s="1"/>
  <c r="FD10" i="1" s="1"/>
  <c r="AI10" i="1"/>
  <c r="DO10" i="1"/>
  <c r="FA10" i="1"/>
  <c r="GY11" i="1"/>
  <c r="GZ11" i="1"/>
  <c r="CZ17" i="1"/>
  <c r="DN17" i="1"/>
  <c r="CK73" i="2"/>
  <c r="DB74" i="2"/>
  <c r="DA17" i="1"/>
  <c r="DO17" i="1"/>
  <c r="FA17" i="1"/>
  <c r="FB17" i="1"/>
  <c r="AI17" i="1"/>
  <c r="EN20" i="1"/>
  <c r="EY74" i="2"/>
  <c r="HA74" i="2"/>
  <c r="DA14" i="1"/>
  <c r="FB14" i="1"/>
  <c r="AI14" i="1"/>
  <c r="DO14" i="1"/>
  <c r="DA15" i="1"/>
  <c r="FB15" i="1"/>
  <c r="DO15" i="1"/>
  <c r="DB17" i="1"/>
  <c r="EZ17" i="1"/>
  <c r="DM17" i="1"/>
  <c r="CZ20" i="1"/>
  <c r="DN20" i="1"/>
  <c r="DN18" i="1"/>
  <c r="EV23" i="1"/>
  <c r="FA27" i="1"/>
  <c r="FB27" i="1"/>
  <c r="CK28" i="1"/>
  <c r="CI28" i="1"/>
  <c r="CL28" i="1"/>
  <c r="CG28" i="1"/>
  <c r="CQ28" i="1"/>
  <c r="CN28" i="1"/>
  <c r="CO28" i="1"/>
  <c r="CP28" i="1"/>
  <c r="DB10" i="1"/>
  <c r="HA18" i="1"/>
  <c r="EY18" i="1"/>
  <c r="AV20" i="1"/>
  <c r="DP20" i="1"/>
  <c r="CZ22" i="1"/>
  <c r="DJ22" i="1" s="1"/>
  <c r="DN22" i="1"/>
  <c r="EW22" i="1"/>
  <c r="DA25" i="1"/>
  <c r="DO25" i="1"/>
  <c r="DB26" i="1"/>
  <c r="EV27" i="1"/>
  <c r="CK31" i="1"/>
  <c r="CJ31" i="1"/>
  <c r="CH31" i="1"/>
  <c r="CO31" i="1"/>
  <c r="CP31" i="1"/>
  <c r="CQ31" i="1"/>
  <c r="CN31" i="1"/>
  <c r="GY24" i="1"/>
  <c r="GZ24" i="1"/>
  <c r="EY24" i="1"/>
  <c r="DA26" i="1"/>
  <c r="DO26" i="1"/>
  <c r="FB26" i="1"/>
  <c r="FC26" i="1" s="1"/>
  <c r="FD26" i="1" s="1"/>
  <c r="AI26" i="1"/>
  <c r="FA26" i="1"/>
  <c r="HA28" i="1"/>
  <c r="EY28" i="1"/>
  <c r="CL32" i="1"/>
  <c r="CG32" i="1"/>
  <c r="CK32" i="1"/>
  <c r="CM32" i="1"/>
  <c r="CI32" i="1"/>
  <c r="CQ32" i="1"/>
  <c r="CN32" i="1"/>
  <c r="CO32" i="1"/>
  <c r="CP32" i="1"/>
  <c r="HA37" i="1"/>
  <c r="EY37" i="1"/>
  <c r="CK21" i="1"/>
  <c r="CM21" i="1"/>
  <c r="CJ21" i="1"/>
  <c r="DN21" i="1" s="1"/>
  <c r="CH21" i="1"/>
  <c r="CP21" i="1"/>
  <c r="CQ21" i="1"/>
  <c r="CN21" i="1"/>
  <c r="EZ21" i="1" s="1"/>
  <c r="CO21" i="1"/>
  <c r="DP22" i="1"/>
  <c r="DB23" i="1"/>
  <c r="AI23" i="1"/>
  <c r="DM23" i="1"/>
  <c r="EZ23" i="1"/>
  <c r="AV23" i="1"/>
  <c r="DP23" i="1"/>
  <c r="CI31" i="1"/>
  <c r="GT39" i="1"/>
  <c r="FB8" i="1"/>
  <c r="DA8" i="1"/>
  <c r="DO8" i="1"/>
  <c r="AI8" i="1"/>
  <c r="CK34" i="1"/>
  <c r="CI34" i="1"/>
  <c r="CL34" i="1"/>
  <c r="CG34" i="1"/>
  <c r="CQ34" i="1"/>
  <c r="CN34" i="1"/>
  <c r="CO34" i="1"/>
  <c r="CP34" i="1"/>
  <c r="EN35" i="1"/>
  <c r="EO35" i="1"/>
  <c r="EQ35" i="1"/>
  <c r="EU35" i="1"/>
  <c r="EW35" i="1"/>
  <c r="ES35" i="1"/>
  <c r="EX35" i="1"/>
  <c r="FA37" i="1"/>
  <c r="FB37" i="1"/>
  <c r="FC37" i="1" s="1"/>
  <c r="FD37" i="1" s="1"/>
  <c r="EV39" i="1"/>
  <c r="CJ32" i="1"/>
  <c r="CK35" i="1"/>
  <c r="CJ35" i="1"/>
  <c r="CZ35" i="1" s="1"/>
  <c r="CH35" i="1"/>
  <c r="DB35" i="1" s="1"/>
  <c r="CO35" i="1"/>
  <c r="CP35" i="1"/>
  <c r="CQ35" i="1"/>
  <c r="CN35" i="1"/>
  <c r="ET35" i="1"/>
  <c r="CL39" i="1"/>
  <c r="EV9" i="2"/>
  <c r="GY19" i="2"/>
  <c r="GZ19" i="2"/>
  <c r="EY19" i="2"/>
  <c r="HA23" i="2"/>
  <c r="EY23" i="2"/>
  <c r="GY23" i="2"/>
  <c r="GZ23" i="2"/>
  <c r="HA27" i="2"/>
  <c r="EY27" i="2"/>
  <c r="ES38" i="2"/>
  <c r="EQ38" i="2"/>
  <c r="EU38" i="2"/>
  <c r="EN38" i="2"/>
  <c r="EO38" i="2"/>
  <c r="EV38" i="2"/>
  <c r="EW38" i="2"/>
  <c r="ER38" i="2"/>
  <c r="ET38" i="2"/>
  <c r="GZ8" i="2"/>
  <c r="GY8" i="2"/>
  <c r="GT37" i="1"/>
  <c r="CH25" i="2"/>
  <c r="CN25" i="2"/>
  <c r="CK25" i="2"/>
  <c r="CM25" i="2"/>
  <c r="CQ25" i="2"/>
  <c r="CI25" i="2"/>
  <c r="DA36" i="1"/>
  <c r="DO36" i="1"/>
  <c r="FB36" i="1"/>
  <c r="AI36" i="1"/>
  <c r="FA36" i="1"/>
  <c r="DB40" i="1"/>
  <c r="EZ40" i="1"/>
  <c r="DM40" i="1"/>
  <c r="DA40" i="1"/>
  <c r="DO40" i="1"/>
  <c r="FB40" i="1"/>
  <c r="AI40" i="1"/>
  <c r="FA40" i="1"/>
  <c r="GY15" i="2"/>
  <c r="GZ15" i="2"/>
  <c r="GZ39" i="2"/>
  <c r="GY39" i="2"/>
  <c r="CN39" i="2"/>
  <c r="CK39" i="2"/>
  <c r="CI39" i="2"/>
  <c r="CO39" i="2"/>
  <c r="CP39" i="2"/>
  <c r="CL39" i="2"/>
  <c r="CG39" i="2"/>
  <c r="DM32" i="2"/>
  <c r="DB32" i="2"/>
  <c r="EZ32" i="2"/>
  <c r="FA32" i="2" s="1"/>
  <c r="DN34" i="2"/>
  <c r="CZ34" i="2"/>
  <c r="CO24" i="2"/>
  <c r="CK24" i="2"/>
  <c r="CP24" i="2"/>
  <c r="CN24" i="2"/>
  <c r="CL24" i="2"/>
  <c r="CG24" i="2"/>
  <c r="CI26" i="2"/>
  <c r="HA35" i="2"/>
  <c r="EY35" i="2"/>
  <c r="CN37" i="2"/>
  <c r="CK37" i="2"/>
  <c r="CM37" i="2"/>
  <c r="CI37" i="2"/>
  <c r="CO37" i="2"/>
  <c r="CJ37" i="2"/>
  <c r="CH37" i="2"/>
  <c r="CG37" i="2"/>
  <c r="CQ37" i="2"/>
  <c r="CL37" i="2"/>
  <c r="CN40" i="2"/>
  <c r="CK40" i="2"/>
  <c r="CI40" i="2"/>
  <c r="CO40" i="2"/>
  <c r="CP40" i="2"/>
  <c r="CL40" i="2"/>
  <c r="CQ40" i="2"/>
  <c r="CG40" i="2"/>
  <c r="DM33" i="2"/>
  <c r="EZ33" i="2"/>
  <c r="FA33" i="2" s="1"/>
  <c r="DB33" i="2"/>
  <c r="DO30" i="2"/>
  <c r="FB30" i="2"/>
  <c r="AI30" i="2"/>
  <c r="DA30" i="2"/>
  <c r="CH21" i="2"/>
  <c r="CJ26" i="2"/>
  <c r="ET33" i="2"/>
  <c r="EO33" i="2"/>
  <c r="ER33" i="2"/>
  <c r="EV33" i="2"/>
  <c r="EU33" i="2"/>
  <c r="EX33" i="2"/>
  <c r="EP33" i="2"/>
  <c r="HA33" i="2" s="1"/>
  <c r="EQ33" i="2"/>
  <c r="EX38" i="2"/>
  <c r="DM30" i="2"/>
  <c r="EZ30" i="2"/>
  <c r="FA30" i="2" s="1"/>
  <c r="DB30" i="2"/>
  <c r="DP34" i="2"/>
  <c r="AV34" i="2"/>
  <c r="CQ27" i="2"/>
  <c r="CJ24" i="2"/>
  <c r="ET36" i="1"/>
  <c r="EO36" i="1"/>
  <c r="EP36" i="1"/>
  <c r="ER36" i="1"/>
  <c r="EV36" i="1"/>
  <c r="EX36" i="1"/>
  <c r="EW40" i="1"/>
  <c r="DM31" i="2"/>
  <c r="DB31" i="2"/>
  <c r="EZ31" i="2"/>
  <c r="FA31" i="2" s="1"/>
  <c r="CL23" i="2"/>
  <c r="CQ26" i="2"/>
  <c r="CH14" i="2"/>
  <c r="CL14" i="2"/>
  <c r="CP14" i="2"/>
  <c r="CI14" i="2"/>
  <c r="CM14" i="2"/>
  <c r="CQ14" i="2"/>
  <c r="CJ14" i="2"/>
  <c r="CN14" i="2"/>
  <c r="CK14" i="2"/>
  <c r="CO14" i="2"/>
  <c r="CG14" i="2"/>
  <c r="CN38" i="2"/>
  <c r="CK38" i="2"/>
  <c r="CI38" i="2"/>
  <c r="CO38" i="2"/>
  <c r="CP38" i="2"/>
  <c r="CL38" i="2"/>
  <c r="CG38" i="2"/>
  <c r="CN36" i="2"/>
  <c r="CK36" i="2"/>
  <c r="CI36" i="2"/>
  <c r="CO36" i="2"/>
  <c r="CP36" i="2"/>
  <c r="CL36" i="2"/>
  <c r="CG36" i="2"/>
  <c r="DN29" i="2"/>
  <c r="CJ15" i="2"/>
  <c r="CN15" i="2"/>
  <c r="CG15" i="2"/>
  <c r="CK15" i="2"/>
  <c r="CO15" i="2"/>
  <c r="CH15" i="2"/>
  <c r="CL15" i="2"/>
  <c r="CP15" i="2"/>
  <c r="CI15" i="2"/>
  <c r="CH12" i="2"/>
  <c r="CL12" i="2"/>
  <c r="CP12" i="2"/>
  <c r="CI12" i="2"/>
  <c r="CM12" i="2"/>
  <c r="CQ12" i="2"/>
  <c r="CJ12" i="2"/>
  <c r="CN12" i="2"/>
  <c r="CK12" i="2"/>
  <c r="CO12" i="2"/>
  <c r="CJ22" i="2"/>
  <c r="DN13" i="2"/>
  <c r="CZ13" i="2"/>
  <c r="FB13" i="2"/>
  <c r="FC13" i="2" s="1"/>
  <c r="FD13" i="2" s="1"/>
  <c r="DA13" i="2"/>
  <c r="AI13" i="2"/>
  <c r="DO13" i="2"/>
  <c r="FA13" i="2"/>
  <c r="DA20" i="2"/>
  <c r="DO20" i="2"/>
  <c r="CM15" i="2"/>
  <c r="DA8" i="2"/>
  <c r="DO8" i="2"/>
  <c r="DN41" i="2"/>
  <c r="CZ41" i="2"/>
  <c r="DJ41" i="2" s="1"/>
  <c r="EW45" i="2"/>
  <c r="EN45" i="2"/>
  <c r="ES45" i="2"/>
  <c r="EX45" i="2"/>
  <c r="EU45" i="2"/>
  <c r="EP45" i="2"/>
  <c r="CK46" i="2"/>
  <c r="CM46" i="2"/>
  <c r="CN46" i="2"/>
  <c r="CO46" i="2"/>
  <c r="CJ46" i="2"/>
  <c r="CZ46" i="2" s="1"/>
  <c r="CH46" i="2"/>
  <c r="CQ46" i="2"/>
  <c r="EV45" i="2"/>
  <c r="HA55" i="2"/>
  <c r="EY55" i="2"/>
  <c r="GY49" i="2"/>
  <c r="GZ49" i="2"/>
  <c r="CZ50" i="2"/>
  <c r="DN50" i="2"/>
  <c r="AV54" i="2"/>
  <c r="DP54" i="2"/>
  <c r="CZ58" i="2"/>
  <c r="DN58" i="2"/>
  <c r="DN60" i="2"/>
  <c r="CZ65" i="2"/>
  <c r="DN65" i="2"/>
  <c r="CL64" i="2"/>
  <c r="CG64" i="2"/>
  <c r="CP64" i="2"/>
  <c r="CQ64" i="2"/>
  <c r="CN64" i="2"/>
  <c r="CI64" i="2"/>
  <c r="CM64" i="2"/>
  <c r="CQ77" i="2"/>
  <c r="CJ77" i="2"/>
  <c r="CZ77" i="2" s="1"/>
  <c r="CH77" i="2"/>
  <c r="CM77" i="2"/>
  <c r="CN77" i="2"/>
  <c r="CO77" i="2"/>
  <c r="CK77" i="2"/>
  <c r="CI77" i="2"/>
  <c r="DB11" i="1"/>
  <c r="EZ11" i="1"/>
  <c r="FA11" i="1" s="1"/>
  <c r="DM11" i="1"/>
  <c r="GY69" i="2"/>
  <c r="GZ69" i="2"/>
  <c r="EX72" i="2"/>
  <c r="EO15" i="1"/>
  <c r="EQ15" i="1"/>
  <c r="EU15" i="1"/>
  <c r="ER15" i="1"/>
  <c r="EV15" i="1"/>
  <c r="EW15" i="1"/>
  <c r="ES15" i="1"/>
  <c r="EX15" i="1"/>
  <c r="EV73" i="2"/>
  <c r="DP41" i="2"/>
  <c r="CN44" i="2"/>
  <c r="CL44" i="2"/>
  <c r="CK47" i="2"/>
  <c r="CJ47" i="2"/>
  <c r="CP47" i="2"/>
  <c r="CL47" i="2"/>
  <c r="CO47" i="2"/>
  <c r="CG47" i="2"/>
  <c r="DO49" i="2"/>
  <c r="FA49" i="2"/>
  <c r="FB49" i="2"/>
  <c r="AI49" i="2"/>
  <c r="DA49" i="2"/>
  <c r="CN47" i="2"/>
  <c r="CH53" i="2"/>
  <c r="CL53" i="2"/>
  <c r="CG53" i="2"/>
  <c r="CP53" i="2"/>
  <c r="CM53" i="2"/>
  <c r="CN53" i="2"/>
  <c r="CI53" i="2"/>
  <c r="CQ53" i="2"/>
  <c r="CK53" i="2"/>
  <c r="DM41" i="2"/>
  <c r="DB41" i="2"/>
  <c r="EZ41" i="2"/>
  <c r="EN47" i="2"/>
  <c r="EO45" i="2"/>
  <c r="CI46" i="2"/>
  <c r="CP44" i="2"/>
  <c r="CP46" i="2"/>
  <c r="ET48" i="2"/>
  <c r="EQ44" i="2"/>
  <c r="EX44" i="2"/>
  <c r="ET44" i="2"/>
  <c r="EV44" i="2"/>
  <c r="EO44" i="2"/>
  <c r="ER44" i="2"/>
  <c r="ER45" i="2"/>
  <c r="CQ47" i="2"/>
  <c r="CZ49" i="2"/>
  <c r="DN49" i="2"/>
  <c r="DN45" i="2"/>
  <c r="CZ45" i="2"/>
  <c r="ET47" i="2"/>
  <c r="CJ53" i="2"/>
  <c r="EX51" i="2"/>
  <c r="DO54" i="2"/>
  <c r="FB54" i="2"/>
  <c r="AI54" i="2"/>
  <c r="DA54" i="2"/>
  <c r="FA54" i="2"/>
  <c r="EN48" i="2"/>
  <c r="DO50" i="2"/>
  <c r="FB50" i="2"/>
  <c r="DA50" i="2"/>
  <c r="AI50" i="2"/>
  <c r="FA50" i="2"/>
  <c r="DP50" i="2"/>
  <c r="AV50" i="2"/>
  <c r="DN54" i="2"/>
  <c r="GZ55" i="2"/>
  <c r="GY55" i="2"/>
  <c r="ER57" i="2"/>
  <c r="DM51" i="2"/>
  <c r="EZ51" i="2"/>
  <c r="FA51" i="2" s="1"/>
  <c r="DB51" i="2"/>
  <c r="DN52" i="2"/>
  <c r="CZ52" i="2"/>
  <c r="DO58" i="2"/>
  <c r="FB58" i="2"/>
  <c r="FC58" i="2" s="1"/>
  <c r="FD58" i="2" s="1"/>
  <c r="FA58" i="2"/>
  <c r="AI58" i="2"/>
  <c r="DA58" i="2"/>
  <c r="DP58" i="2"/>
  <c r="AV58" i="2"/>
  <c r="ES52" i="2"/>
  <c r="CG56" i="2"/>
  <c r="EP56" i="2"/>
  <c r="HA56" i="2" s="1"/>
  <c r="ET56" i="2"/>
  <c r="EQ56" i="2"/>
  <c r="EU56" i="2"/>
  <c r="EX56" i="2"/>
  <c r="EO56" i="2"/>
  <c r="EY56" i="2" s="1"/>
  <c r="ER56" i="2"/>
  <c r="EV56" i="2"/>
  <c r="GZ58" i="2"/>
  <c r="GY58" i="2"/>
  <c r="CG60" i="2"/>
  <c r="EP60" i="2"/>
  <c r="HA60" i="2" s="1"/>
  <c r="ET60" i="2"/>
  <c r="EQ60" i="2"/>
  <c r="ER60" i="2"/>
  <c r="EX60" i="2"/>
  <c r="EU60" i="2"/>
  <c r="EO60" i="2"/>
  <c r="EV60" i="2"/>
  <c r="CO61" i="2"/>
  <c r="CG63" i="2"/>
  <c r="ET63" i="2"/>
  <c r="EQ63" i="2"/>
  <c r="EU63" i="2"/>
  <c r="EX63" i="2"/>
  <c r="ER63" i="2"/>
  <c r="EV63" i="2"/>
  <c r="EO63" i="2"/>
  <c r="CQ67" i="2"/>
  <c r="CM67" i="2"/>
  <c r="CN67" i="2"/>
  <c r="CJ67" i="2"/>
  <c r="CH67" i="2"/>
  <c r="CI67" i="2"/>
  <c r="CK67" i="2"/>
  <c r="CK69" i="2"/>
  <c r="CJ69" i="2"/>
  <c r="CP69" i="2"/>
  <c r="CL69" i="2"/>
  <c r="CG69" i="2"/>
  <c r="CO69" i="2"/>
  <c r="CN69" i="2"/>
  <c r="EZ69" i="2" s="1"/>
  <c r="DO65" i="2"/>
  <c r="FB65" i="2"/>
  <c r="FC65" i="2" s="1"/>
  <c r="FD65" i="2" s="1"/>
  <c r="DA65" i="2"/>
  <c r="AI65" i="2"/>
  <c r="FA65" i="2"/>
  <c r="DP65" i="2"/>
  <c r="AV65" i="2"/>
  <c r="EN67" i="2"/>
  <c r="CM55" i="2"/>
  <c r="CJ57" i="2"/>
  <c r="AV57" i="2" s="1"/>
  <c r="CQ59" i="2"/>
  <c r="GY43" i="2"/>
  <c r="GZ43" i="2"/>
  <c r="CK64" i="2"/>
  <c r="CH68" i="2"/>
  <c r="CL68" i="2"/>
  <c r="CG68" i="2"/>
  <c r="CP68" i="2"/>
  <c r="CM68" i="2"/>
  <c r="CQ68" i="2"/>
  <c r="CI68" i="2"/>
  <c r="CK68" i="2"/>
  <c r="EY70" i="2"/>
  <c r="HA70" i="2"/>
  <c r="DB71" i="2"/>
  <c r="HA71" i="2"/>
  <c r="EY71" i="2"/>
  <c r="DP74" i="2"/>
  <c r="AV74" i="2"/>
  <c r="EQ76" i="2"/>
  <c r="EU76" i="2"/>
  <c r="EO76" i="2"/>
  <c r="EV76" i="2"/>
  <c r="EP76" i="2"/>
  <c r="ER76" i="2"/>
  <c r="ES76" i="2"/>
  <c r="HA76" i="2" s="1"/>
  <c r="DO79" i="2"/>
  <c r="FB79" i="2"/>
  <c r="AI79" i="2"/>
  <c r="FA79" i="2"/>
  <c r="DA79" i="2"/>
  <c r="ES10" i="1"/>
  <c r="DA11" i="1"/>
  <c r="FB11" i="1"/>
  <c r="AI11" i="1"/>
  <c r="DO11" i="1"/>
  <c r="DR11" i="1" s="1"/>
  <c r="DS11" i="1" s="1"/>
  <c r="EN15" i="1"/>
  <c r="DP70" i="2"/>
  <c r="AV70" i="2"/>
  <c r="EN72" i="2"/>
  <c r="EX76" i="2"/>
  <c r="CP77" i="2"/>
  <c r="DN79" i="2"/>
  <c r="CG9" i="1"/>
  <c r="CJ13" i="1"/>
  <c r="CZ13" i="1" s="1"/>
  <c r="CH13" i="1"/>
  <c r="FB13" i="1" s="1"/>
  <c r="CM13" i="1"/>
  <c r="CI13" i="1"/>
  <c r="CK13" i="1"/>
  <c r="CO13" i="1"/>
  <c r="CP13" i="1"/>
  <c r="CQ13" i="1"/>
  <c r="CN13" i="1"/>
  <c r="ET72" i="2"/>
  <c r="ES77" i="2"/>
  <c r="CN68" i="2"/>
  <c r="GY68" i="2"/>
  <c r="GZ68" i="2"/>
  <c r="EN73" i="2"/>
  <c r="CK76" i="2"/>
  <c r="CI76" i="2"/>
  <c r="AI76" i="2" s="1"/>
  <c r="CN76" i="2"/>
  <c r="CJ76" i="2"/>
  <c r="DN76" i="2" s="1"/>
  <c r="CO76" i="2"/>
  <c r="CP76" i="2"/>
  <c r="EX79" i="2"/>
  <c r="CZ10" i="1"/>
  <c r="DN10" i="1"/>
  <c r="CI12" i="1"/>
  <c r="EO13" i="1"/>
  <c r="EQ13" i="1"/>
  <c r="EU13" i="1"/>
  <c r="EP13" i="1"/>
  <c r="HA13" i="1" s="1"/>
  <c r="EV13" i="1"/>
  <c r="ER13" i="1"/>
  <c r="EX13" i="1"/>
  <c r="EQ73" i="2"/>
  <c r="GY12" i="1"/>
  <c r="GZ12" i="1"/>
  <c r="EU20" i="1"/>
  <c r="EQ20" i="1"/>
  <c r="EP20" i="1"/>
  <c r="EV20" i="1"/>
  <c r="EX20" i="1"/>
  <c r="CN78" i="2"/>
  <c r="DB14" i="1"/>
  <c r="EZ14" i="1"/>
  <c r="FA14" i="1" s="1"/>
  <c r="DM14" i="1"/>
  <c r="CZ14" i="1"/>
  <c r="DN14" i="1"/>
  <c r="GY14" i="1"/>
  <c r="GZ14" i="1"/>
  <c r="CZ15" i="1"/>
  <c r="DN15" i="1"/>
  <c r="CJ19" i="1"/>
  <c r="CZ19" i="1" s="1"/>
  <c r="CH19" i="1"/>
  <c r="CM19" i="1"/>
  <c r="CI19" i="1"/>
  <c r="CK19" i="1"/>
  <c r="CQ19" i="1"/>
  <c r="CN19" i="1"/>
  <c r="CO19" i="1"/>
  <c r="CP19" i="1"/>
  <c r="ET20" i="1"/>
  <c r="GT23" i="1"/>
  <c r="DR26" i="1"/>
  <c r="DS26" i="1" s="1"/>
  <c r="DN27" i="1"/>
  <c r="ES9" i="1"/>
  <c r="EY9" i="1" s="1"/>
  <c r="CK16" i="1"/>
  <c r="GY18" i="1"/>
  <c r="GZ18" i="1"/>
  <c r="EN22" i="1"/>
  <c r="DN25" i="1"/>
  <c r="CI18" i="1"/>
  <c r="AI18" i="1" s="1"/>
  <c r="GZ21" i="1"/>
  <c r="GY21" i="1"/>
  <c r="EP23" i="1"/>
  <c r="CZ26" i="1"/>
  <c r="DN26" i="1"/>
  <c r="DT26" i="1" s="1"/>
  <c r="DU26" i="1" s="1"/>
  <c r="EN27" i="1"/>
  <c r="EW27" i="1"/>
  <c r="GY27" i="1" s="1"/>
  <c r="ES27" i="1"/>
  <c r="EQ27" i="1"/>
  <c r="EU27" i="1"/>
  <c r="EX27" i="1"/>
  <c r="HA33" i="1"/>
  <c r="EY33" i="1"/>
  <c r="ET16" i="1"/>
  <c r="EO16" i="1"/>
  <c r="EQ16" i="1"/>
  <c r="EU16" i="1"/>
  <c r="ER16" i="1"/>
  <c r="EP16" i="1"/>
  <c r="HA16" i="1" s="1"/>
  <c r="EV16" i="1"/>
  <c r="EX16" i="1"/>
  <c r="CG21" i="1"/>
  <c r="FA23" i="1"/>
  <c r="FB23" i="1"/>
  <c r="CK24" i="1"/>
  <c r="CI24" i="1"/>
  <c r="CL24" i="1"/>
  <c r="CG24" i="1"/>
  <c r="CN24" i="1"/>
  <c r="CO24" i="1"/>
  <c r="CQ24" i="1"/>
  <c r="CP24" i="1"/>
  <c r="CI25" i="1"/>
  <c r="AV26" i="1"/>
  <c r="GY28" i="1"/>
  <c r="GZ28" i="1"/>
  <c r="CH32" i="1"/>
  <c r="CZ8" i="1"/>
  <c r="DN8" i="1"/>
  <c r="GY10" i="2"/>
  <c r="GZ10" i="2"/>
  <c r="EY10" i="2"/>
  <c r="HA20" i="2"/>
  <c r="EY20" i="2"/>
  <c r="EN36" i="2"/>
  <c r="GY29" i="1"/>
  <c r="GZ29" i="1"/>
  <c r="DA30" i="1"/>
  <c r="DO30" i="1"/>
  <c r="FB30" i="1"/>
  <c r="AI30" i="1"/>
  <c r="AV30" i="1"/>
  <c r="DP30" i="1"/>
  <c r="DB33" i="1"/>
  <c r="DM33" i="1"/>
  <c r="EZ33" i="1"/>
  <c r="AI33" i="1"/>
  <c r="AV33" i="1"/>
  <c r="DP33" i="1"/>
  <c r="CM34" i="1"/>
  <c r="ER35" i="1"/>
  <c r="DN37" i="1"/>
  <c r="CG31" i="1"/>
  <c r="EQ12" i="2"/>
  <c r="EU12" i="2"/>
  <c r="EO12" i="2"/>
  <c r="EY12" i="2" s="1"/>
  <c r="ER12" i="2"/>
  <c r="EV12" i="2"/>
  <c r="EP12" i="2"/>
  <c r="HA12" i="2" s="1"/>
  <c r="ES12" i="2"/>
  <c r="EX12" i="2"/>
  <c r="CM31" i="1"/>
  <c r="ET32" i="1"/>
  <c r="EO32" i="1"/>
  <c r="EP32" i="1"/>
  <c r="HA32" i="1" s="1"/>
  <c r="ER32" i="1"/>
  <c r="EV32" i="1"/>
  <c r="EX32" i="1"/>
  <c r="CG35" i="1"/>
  <c r="GY37" i="1"/>
  <c r="GZ37" i="1"/>
  <c r="EQ24" i="2"/>
  <c r="EU24" i="2"/>
  <c r="EO24" i="2"/>
  <c r="ER24" i="2"/>
  <c r="EV24" i="2"/>
  <c r="ES24" i="2"/>
  <c r="EX24" i="2"/>
  <c r="EW24" i="2"/>
  <c r="ET24" i="2"/>
  <c r="EQ32" i="2"/>
  <c r="EU32" i="2"/>
  <c r="HA32" i="2" s="1"/>
  <c r="ES32" i="2"/>
  <c r="ET32" i="2"/>
  <c r="EW32" i="2"/>
  <c r="EX32" i="2"/>
  <c r="GZ14" i="2"/>
  <c r="EP24" i="2"/>
  <c r="EQ28" i="2"/>
  <c r="EU28" i="2"/>
  <c r="EO28" i="2"/>
  <c r="ER28" i="2"/>
  <c r="EV28" i="2"/>
  <c r="ES28" i="2"/>
  <c r="EW28" i="2"/>
  <c r="HA28" i="2" s="1"/>
  <c r="EX28" i="2"/>
  <c r="ES34" i="2"/>
  <c r="EQ34" i="2"/>
  <c r="EU34" i="2"/>
  <c r="EN34" i="2"/>
  <c r="EO34" i="2"/>
  <c r="EV34" i="2"/>
  <c r="EW34" i="2"/>
  <c r="ER34" i="2"/>
  <c r="AV40" i="1"/>
  <c r="DP40" i="1"/>
  <c r="EW12" i="2"/>
  <c r="EP14" i="2"/>
  <c r="GY14" i="2" s="1"/>
  <c r="ES14" i="2"/>
  <c r="ET14" i="2"/>
  <c r="EQ14" i="2"/>
  <c r="EU14" i="2"/>
  <c r="EN14" i="2"/>
  <c r="ER14" i="2"/>
  <c r="EV14" i="2"/>
  <c r="EX14" i="2"/>
  <c r="ET21" i="2"/>
  <c r="EQ21" i="2"/>
  <c r="EU21" i="2"/>
  <c r="EO21" i="2"/>
  <c r="ER21" i="2"/>
  <c r="EV21" i="2"/>
  <c r="EP21" i="2"/>
  <c r="EX21" i="2"/>
  <c r="GY27" i="2"/>
  <c r="GZ27" i="2"/>
  <c r="CJ34" i="1"/>
  <c r="CZ36" i="1"/>
  <c r="DN36" i="1"/>
  <c r="CZ40" i="1"/>
  <c r="DN40" i="1"/>
  <c r="EP16" i="2"/>
  <c r="HA16" i="2" s="1"/>
  <c r="CM39" i="2"/>
  <c r="FA34" i="2"/>
  <c r="AI34" i="2"/>
  <c r="DO34" i="2"/>
  <c r="FB34" i="2"/>
  <c r="DA34" i="2"/>
  <c r="CJ27" i="2"/>
  <c r="CM24" i="2"/>
  <c r="CN26" i="2"/>
  <c r="ET25" i="2"/>
  <c r="EQ25" i="2"/>
  <c r="EU25" i="2"/>
  <c r="EO25" i="2"/>
  <c r="ER25" i="2"/>
  <c r="HA25" i="2" s="1"/>
  <c r="EV25" i="2"/>
  <c r="EP25" i="2"/>
  <c r="EX25" i="2"/>
  <c r="EO32" i="2"/>
  <c r="GZ35" i="2"/>
  <c r="GY35" i="2"/>
  <c r="CP37" i="2"/>
  <c r="CM40" i="2"/>
  <c r="CI24" i="2"/>
  <c r="CO26" i="2"/>
  <c r="ES21" i="2"/>
  <c r="HA31" i="2"/>
  <c r="EY31" i="2"/>
  <c r="ES33" i="2"/>
  <c r="HA8" i="2"/>
  <c r="EY8" i="2"/>
  <c r="CN35" i="2"/>
  <c r="CK35" i="2"/>
  <c r="CI35" i="2"/>
  <c r="CO35" i="2"/>
  <c r="CP35" i="2"/>
  <c r="CG35" i="2"/>
  <c r="CQ35" i="2"/>
  <c r="CL35" i="2"/>
  <c r="DB34" i="2"/>
  <c r="EZ34" i="2"/>
  <c r="DM34" i="2"/>
  <c r="CG25" i="2"/>
  <c r="ES36" i="1"/>
  <c r="DP31" i="2"/>
  <c r="AV31" i="2"/>
  <c r="DA12" i="2"/>
  <c r="AI12" i="2"/>
  <c r="DO12" i="2"/>
  <c r="ET34" i="2"/>
  <c r="CM38" i="2"/>
  <c r="CM36" i="2"/>
  <c r="DA10" i="2"/>
  <c r="DO10" i="2"/>
  <c r="CJ19" i="2"/>
  <c r="CN19" i="2"/>
  <c r="CG19" i="2"/>
  <c r="CK19" i="2"/>
  <c r="CO19" i="2"/>
  <c r="CH19" i="2"/>
  <c r="CL19" i="2"/>
  <c r="CP19" i="2"/>
  <c r="CH16" i="2"/>
  <c r="CL16" i="2"/>
  <c r="FB16" i="2" s="1"/>
  <c r="CP16" i="2"/>
  <c r="CI16" i="2"/>
  <c r="CM16" i="2"/>
  <c r="CQ16" i="2"/>
  <c r="CJ16" i="2"/>
  <c r="CN16" i="2"/>
  <c r="CK16" i="2"/>
  <c r="CO16" i="2"/>
  <c r="CH10" i="2"/>
  <c r="FB10" i="2" s="1"/>
  <c r="CL10" i="2"/>
  <c r="CP10" i="2"/>
  <c r="CI10" i="2"/>
  <c r="AI10" i="2" s="1"/>
  <c r="CM10" i="2"/>
  <c r="CQ10" i="2"/>
  <c r="CJ10" i="2"/>
  <c r="CN10" i="2"/>
  <c r="CK10" i="2"/>
  <c r="CO10" i="2"/>
  <c r="CI19" i="2"/>
  <c r="EO40" i="2"/>
  <c r="EY40" i="2" s="1"/>
  <c r="CH20" i="2"/>
  <c r="CL20" i="2"/>
  <c r="CP20" i="2"/>
  <c r="CI20" i="2"/>
  <c r="CM20" i="2"/>
  <c r="CQ20" i="2"/>
  <c r="CJ20" i="2"/>
  <c r="DP20" i="2" s="1"/>
  <c r="CN20" i="2"/>
  <c r="CQ15" i="2"/>
  <c r="CH8" i="2"/>
  <c r="CL8" i="2"/>
  <c r="CP8" i="2"/>
  <c r="CI8" i="2"/>
  <c r="AI8" i="2" s="1"/>
  <c r="CM8" i="2"/>
  <c r="CQ8" i="2"/>
  <c r="CJ8" i="2"/>
  <c r="FB8" i="2" s="1"/>
  <c r="CN8" i="2"/>
  <c r="CK8" i="2"/>
  <c r="FB32" i="2"/>
  <c r="ER18" i="2"/>
  <c r="AV27" i="1"/>
  <c r="DP27" i="1"/>
  <c r="EP17" i="1"/>
  <c r="EW17" i="1"/>
  <c r="ES17" i="1"/>
  <c r="ET17" i="1"/>
  <c r="EN17" i="1"/>
  <c r="EQ17" i="1"/>
  <c r="EO17" i="1"/>
  <c r="EU17" i="1"/>
  <c r="EX17" i="1"/>
  <c r="DB21" i="1"/>
  <c r="DM21" i="1"/>
  <c r="EO22" i="1"/>
  <c r="ET22" i="1"/>
  <c r="ER22" i="1"/>
  <c r="EV22" i="1"/>
  <c r="EP22" i="1"/>
  <c r="EX22" i="1"/>
  <c r="EY19" i="1"/>
  <c r="HA21" i="1"/>
  <c r="EY21" i="1"/>
  <c r="ET23" i="1"/>
  <c r="HA26" i="1"/>
  <c r="CZ21" i="1"/>
  <c r="EU22" i="1"/>
  <c r="EN25" i="1"/>
  <c r="EO25" i="1"/>
  <c r="EQ25" i="1"/>
  <c r="EU25" i="1"/>
  <c r="EW25" i="1"/>
  <c r="ES25" i="1"/>
  <c r="EX25" i="1"/>
  <c r="CK29" i="1"/>
  <c r="CM29" i="1"/>
  <c r="CJ29" i="1"/>
  <c r="CZ29" i="1" s="1"/>
  <c r="CH29" i="1"/>
  <c r="CO29" i="1"/>
  <c r="CP29" i="1"/>
  <c r="CQ29" i="1"/>
  <c r="CN29" i="1"/>
  <c r="GY30" i="1"/>
  <c r="GZ30" i="1"/>
  <c r="GY34" i="1"/>
  <c r="GZ34" i="1"/>
  <c r="HA24" i="2"/>
  <c r="CI29" i="1"/>
  <c r="HA29" i="1"/>
  <c r="EY29" i="1"/>
  <c r="CZ30" i="1"/>
  <c r="DN30" i="1"/>
  <c r="FA33" i="1"/>
  <c r="FB33" i="1"/>
  <c r="CK38" i="1"/>
  <c r="CI38" i="1"/>
  <c r="CL38" i="1"/>
  <c r="CG38" i="1"/>
  <c r="CQ38" i="1"/>
  <c r="CN38" i="1"/>
  <c r="CO38" i="1"/>
  <c r="CP38" i="1"/>
  <c r="EN39" i="1"/>
  <c r="EO39" i="1"/>
  <c r="EQ39" i="1"/>
  <c r="EU39" i="1"/>
  <c r="EW39" i="1"/>
  <c r="ES39" i="1"/>
  <c r="EX39" i="1"/>
  <c r="CZ31" i="1"/>
  <c r="DN31" i="1"/>
  <c r="AV8" i="1"/>
  <c r="DP8" i="1"/>
  <c r="CG29" i="1"/>
  <c r="GZ31" i="1"/>
  <c r="GY31" i="1"/>
  <c r="CK39" i="1"/>
  <c r="CJ39" i="1"/>
  <c r="CH39" i="1"/>
  <c r="DM39" i="1" s="1"/>
  <c r="CO39" i="1"/>
  <c r="CP39" i="1"/>
  <c r="CQ39" i="1"/>
  <c r="CN39" i="1"/>
  <c r="EZ39" i="1" s="1"/>
  <c r="ET39" i="1"/>
  <c r="EQ8" i="1"/>
  <c r="EU8" i="1"/>
  <c r="EO8" i="1"/>
  <c r="ER8" i="1"/>
  <c r="EV8" i="1"/>
  <c r="ES8" i="1"/>
  <c r="EN8" i="1"/>
  <c r="EW8" i="1"/>
  <c r="EX8" i="1"/>
  <c r="EP22" i="2"/>
  <c r="ES22" i="2"/>
  <c r="ET22" i="2"/>
  <c r="EQ22" i="2"/>
  <c r="EU22" i="2"/>
  <c r="EN22" i="2"/>
  <c r="ER22" i="2"/>
  <c r="EV22" i="2"/>
  <c r="EX22" i="2"/>
  <c r="EO22" i="2"/>
  <c r="EQ36" i="2"/>
  <c r="EU36" i="2"/>
  <c r="ES36" i="2"/>
  <c r="ET36" i="2"/>
  <c r="EX36" i="2"/>
  <c r="EW36" i="2"/>
  <c r="EW22" i="2"/>
  <c r="ES26" i="2"/>
  <c r="EW26" i="2"/>
  <c r="GY26" i="2" s="1"/>
  <c r="ET26" i="2"/>
  <c r="EQ26" i="2"/>
  <c r="EU26" i="2"/>
  <c r="EN26" i="2"/>
  <c r="ER26" i="2"/>
  <c r="EV26" i="2"/>
  <c r="EX26" i="2"/>
  <c r="ES30" i="2"/>
  <c r="EQ30" i="2"/>
  <c r="EU30" i="2"/>
  <c r="EN30" i="2"/>
  <c r="EO30" i="2"/>
  <c r="EV30" i="2"/>
  <c r="EW30" i="2"/>
  <c r="ER30" i="2"/>
  <c r="DB36" i="1"/>
  <c r="DM36" i="1"/>
  <c r="EZ36" i="1"/>
  <c r="CJ38" i="1"/>
  <c r="HA15" i="2"/>
  <c r="EY15" i="2"/>
  <c r="ER36" i="2"/>
  <c r="DP28" i="2"/>
  <c r="AV28" i="2"/>
  <c r="CL21" i="2"/>
  <c r="CG21" i="2"/>
  <c r="CP21" i="2"/>
  <c r="CQ21" i="2"/>
  <c r="CI21" i="2"/>
  <c r="CN21" i="2"/>
  <c r="CM21" i="2"/>
  <c r="ET37" i="2"/>
  <c r="EO37" i="2"/>
  <c r="ER37" i="2"/>
  <c r="EV37" i="2"/>
  <c r="EU37" i="2"/>
  <c r="EX37" i="2"/>
  <c r="EP37" i="2"/>
  <c r="EN37" i="2"/>
  <c r="EQ37" i="2"/>
  <c r="DP29" i="2"/>
  <c r="AV29" i="2"/>
  <c r="CZ28" i="2"/>
  <c r="CN22" i="2"/>
  <c r="CK22" i="2"/>
  <c r="CO22" i="2"/>
  <c r="CP22" i="2"/>
  <c r="CL22" i="2"/>
  <c r="CG22" i="2"/>
  <c r="CQ22" i="2"/>
  <c r="EY38" i="1"/>
  <c r="CP27" i="2"/>
  <c r="CK27" i="2"/>
  <c r="CI27" i="2"/>
  <c r="CN27" i="2"/>
  <c r="CG27" i="2"/>
  <c r="CO27" i="2"/>
  <c r="CL27" i="2"/>
  <c r="CI22" i="2"/>
  <c r="ET40" i="1"/>
  <c r="EO40" i="1"/>
  <c r="EY40" i="1" s="1"/>
  <c r="EX40" i="1"/>
  <c r="EP40" i="1"/>
  <c r="HA40" i="1" s="1"/>
  <c r="ER40" i="1"/>
  <c r="EV40" i="1"/>
  <c r="DO31" i="2"/>
  <c r="FB31" i="2"/>
  <c r="DA31" i="2"/>
  <c r="AI31" i="2"/>
  <c r="CK26" i="2"/>
  <c r="CL26" i="2"/>
  <c r="CG26" i="2"/>
  <c r="CP26" i="2"/>
  <c r="CJ11" i="2"/>
  <c r="CN11" i="2"/>
  <c r="CG11" i="2"/>
  <c r="CK11" i="2"/>
  <c r="CO11" i="2"/>
  <c r="CH11" i="2"/>
  <c r="CL11" i="2"/>
  <c r="CP11" i="2"/>
  <c r="CI11" i="2"/>
  <c r="CM11" i="2"/>
  <c r="CJ21" i="2"/>
  <c r="DP21" i="2" s="1"/>
  <c r="CH18" i="2"/>
  <c r="CL18" i="2"/>
  <c r="CP18" i="2"/>
  <c r="CI18" i="2"/>
  <c r="CM18" i="2"/>
  <c r="CQ18" i="2"/>
  <c r="CJ18" i="2"/>
  <c r="CN18" i="2"/>
  <c r="CG18" i="2"/>
  <c r="CK18" i="2"/>
  <c r="CO18" i="2"/>
  <c r="CJ9" i="2"/>
  <c r="CN9" i="2"/>
  <c r="CG9" i="2"/>
  <c r="CK9" i="2"/>
  <c r="CO9" i="2"/>
  <c r="CH9" i="2"/>
  <c r="CL9" i="2"/>
  <c r="CP9" i="2"/>
  <c r="CI9" i="2"/>
  <c r="EZ13" i="2"/>
  <c r="DB13" i="2"/>
  <c r="DM13" i="2"/>
  <c r="CQ11" i="2"/>
  <c r="ER40" i="2"/>
  <c r="CM9" i="2"/>
  <c r="CQ39" i="2"/>
  <c r="EP18" i="2"/>
  <c r="GZ18" i="2" s="1"/>
  <c r="ES18" i="2"/>
  <c r="ET18" i="2"/>
  <c r="EQ18" i="2"/>
  <c r="EU18" i="2"/>
  <c r="EN18" i="2"/>
  <c r="EX18" i="2"/>
  <c r="DK41" i="2" l="1"/>
  <c r="DG41" i="2"/>
  <c r="DH41" i="2" s="1"/>
  <c r="DG22" i="1"/>
  <c r="DH22" i="1" s="1"/>
  <c r="W22" i="1" s="1"/>
  <c r="DK22" i="1"/>
  <c r="AY22" i="1" s="1"/>
  <c r="U22" i="1" s="1"/>
  <c r="EZ9" i="2"/>
  <c r="DB9" i="2"/>
  <c r="DM9" i="2"/>
  <c r="DM18" i="2"/>
  <c r="DB18" i="2"/>
  <c r="EZ18" i="2"/>
  <c r="DN11" i="2"/>
  <c r="CZ11" i="2"/>
  <c r="DA26" i="2"/>
  <c r="FA26" i="2"/>
  <c r="DO26" i="2"/>
  <c r="FB26" i="2"/>
  <c r="AI26" i="2"/>
  <c r="DM22" i="2"/>
  <c r="DB22" i="2"/>
  <c r="EZ22" i="2"/>
  <c r="HB31" i="1"/>
  <c r="HC31" i="1"/>
  <c r="GZ39" i="1"/>
  <c r="GY39" i="1"/>
  <c r="DB38" i="1"/>
  <c r="DM38" i="1"/>
  <c r="EZ38" i="1"/>
  <c r="HB34" i="1"/>
  <c r="HE34" i="1" s="1"/>
  <c r="GZ25" i="1"/>
  <c r="GY25" i="1"/>
  <c r="AI25" i="2"/>
  <c r="DO25" i="2"/>
  <c r="FB25" i="2"/>
  <c r="DA25" i="2"/>
  <c r="GY32" i="2"/>
  <c r="GZ32" i="2"/>
  <c r="GY24" i="2"/>
  <c r="GZ24" i="2"/>
  <c r="DJ30" i="1"/>
  <c r="DF30" i="1"/>
  <c r="HD10" i="2"/>
  <c r="BN10" i="2" s="1"/>
  <c r="AV19" i="1"/>
  <c r="DP19" i="1"/>
  <c r="FC11" i="1"/>
  <c r="FD11" i="1" s="1"/>
  <c r="CZ68" i="2"/>
  <c r="DN68" i="2"/>
  <c r="DT65" i="2"/>
  <c r="DR65" i="2"/>
  <c r="DA69" i="2"/>
  <c r="AI69" i="2"/>
  <c r="FA69" i="2"/>
  <c r="DO69" i="2"/>
  <c r="FB69" i="2"/>
  <c r="GY63" i="2"/>
  <c r="GZ63" i="2"/>
  <c r="DA56" i="2"/>
  <c r="AI56" i="2"/>
  <c r="DO56" i="2"/>
  <c r="FB56" i="2"/>
  <c r="CZ53" i="2"/>
  <c r="DN53" i="2"/>
  <c r="DN44" i="2"/>
  <c r="CZ44" i="2"/>
  <c r="FB15" i="2"/>
  <c r="DA15" i="2"/>
  <c r="AI15" i="2"/>
  <c r="DO15" i="2"/>
  <c r="AV38" i="2"/>
  <c r="DP38" i="2"/>
  <c r="HB39" i="2"/>
  <c r="HC39" i="2" s="1"/>
  <c r="AV25" i="2"/>
  <c r="DP25" i="2"/>
  <c r="HA35" i="1"/>
  <c r="EY35" i="1"/>
  <c r="DR23" i="1"/>
  <c r="DS23" i="1" s="1"/>
  <c r="DT23" i="1"/>
  <c r="DU23" i="1" s="1"/>
  <c r="DB28" i="1"/>
  <c r="DM28" i="1"/>
  <c r="EZ28" i="1"/>
  <c r="HB65" i="2"/>
  <c r="HD65" i="2" s="1"/>
  <c r="BN65" i="2" s="1"/>
  <c r="HC65" i="2"/>
  <c r="EY60" i="2"/>
  <c r="GY52" i="2"/>
  <c r="GZ52" i="2"/>
  <c r="AI61" i="2"/>
  <c r="DA61" i="2"/>
  <c r="FB61" i="2"/>
  <c r="DO61" i="2"/>
  <c r="AV72" i="2"/>
  <c r="DP72" i="2"/>
  <c r="HB20" i="2"/>
  <c r="HC20" i="2" s="1"/>
  <c r="AV17" i="2"/>
  <c r="DP17" i="2"/>
  <c r="DF33" i="2"/>
  <c r="DJ33" i="2"/>
  <c r="AA15" i="6"/>
  <c r="S20" i="6"/>
  <c r="G21" i="6" s="1"/>
  <c r="T25" i="6" s="1"/>
  <c r="HE39" i="2"/>
  <c r="GY16" i="2"/>
  <c r="GZ16" i="2"/>
  <c r="HB38" i="1"/>
  <c r="HE38" i="1" s="1"/>
  <c r="HC38" i="1"/>
  <c r="CZ12" i="1"/>
  <c r="DN12" i="1"/>
  <c r="DR66" i="2"/>
  <c r="DT66" i="2"/>
  <c r="HD53" i="2"/>
  <c r="BN53" i="2" s="1"/>
  <c r="HB54" i="2"/>
  <c r="HE54" i="2" s="1"/>
  <c r="HC54" i="2"/>
  <c r="DB44" i="2"/>
  <c r="EZ44" i="2"/>
  <c r="FA44" i="2" s="1"/>
  <c r="DM44" i="2"/>
  <c r="CZ16" i="1"/>
  <c r="DN16" i="1"/>
  <c r="DR79" i="2"/>
  <c r="DT79" i="2"/>
  <c r="HB59" i="2"/>
  <c r="HC59" i="2"/>
  <c r="GY48" i="2"/>
  <c r="GZ48" i="2"/>
  <c r="GY18" i="2"/>
  <c r="GZ27" i="1"/>
  <c r="HB27" i="1" s="1"/>
  <c r="HC27" i="1" s="1"/>
  <c r="DP57" i="2"/>
  <c r="DF22" i="1"/>
  <c r="DN77" i="2"/>
  <c r="AV9" i="2"/>
  <c r="DP9" i="2"/>
  <c r="DN26" i="2"/>
  <c r="CZ26" i="2"/>
  <c r="CZ27" i="2"/>
  <c r="DN27" i="2"/>
  <c r="DM27" i="2"/>
  <c r="EZ27" i="2"/>
  <c r="DB27" i="2"/>
  <c r="DF29" i="2"/>
  <c r="DJ29" i="2"/>
  <c r="HA37" i="2"/>
  <c r="EY37" i="2"/>
  <c r="DR28" i="2"/>
  <c r="DT28" i="2"/>
  <c r="EY13" i="2"/>
  <c r="EY17" i="2"/>
  <c r="GZ26" i="2"/>
  <c r="AV39" i="1"/>
  <c r="DP39" i="1"/>
  <c r="HD31" i="1"/>
  <c r="BN31" i="1" s="1"/>
  <c r="HA39" i="1"/>
  <c r="EY39" i="1"/>
  <c r="AV38" i="1"/>
  <c r="DP38" i="1"/>
  <c r="HA25" i="1"/>
  <c r="EY25" i="1"/>
  <c r="EY9" i="2"/>
  <c r="HA17" i="1"/>
  <c r="EY17" i="1"/>
  <c r="FC32" i="2"/>
  <c r="FD32" i="2" s="1"/>
  <c r="CZ8" i="2"/>
  <c r="DN8" i="2"/>
  <c r="EZ19" i="2"/>
  <c r="DB19" i="2"/>
  <c r="DM19" i="2"/>
  <c r="AV16" i="2"/>
  <c r="DP16" i="2"/>
  <c r="DJ31" i="2"/>
  <c r="DF31" i="2"/>
  <c r="DM35" i="2"/>
  <c r="DB35" i="2"/>
  <c r="EZ35" i="2"/>
  <c r="DM24" i="2"/>
  <c r="EZ24" i="2"/>
  <c r="DB24" i="2"/>
  <c r="GZ25" i="2"/>
  <c r="GY25" i="2"/>
  <c r="FC34" i="2"/>
  <c r="FD34" i="2" s="1"/>
  <c r="HB27" i="2"/>
  <c r="HC27" i="2"/>
  <c r="HA14" i="2"/>
  <c r="EY14" i="2"/>
  <c r="DJ40" i="1"/>
  <c r="DF40" i="1"/>
  <c r="DA35" i="1"/>
  <c r="FA35" i="1"/>
  <c r="DO35" i="1"/>
  <c r="FB35" i="1"/>
  <c r="FC35" i="1" s="1"/>
  <c r="FD35" i="1" s="1"/>
  <c r="AI35" i="1"/>
  <c r="DA31" i="1"/>
  <c r="DO31" i="1"/>
  <c r="FB31" i="1"/>
  <c r="AI31" i="1"/>
  <c r="HB10" i="2"/>
  <c r="HE10" i="2" s="1"/>
  <c r="HC10" i="2"/>
  <c r="DJ26" i="1"/>
  <c r="DF26" i="1"/>
  <c r="DB24" i="1"/>
  <c r="DM24" i="1"/>
  <c r="EZ24" i="1"/>
  <c r="DA21" i="1"/>
  <c r="FA21" i="1"/>
  <c r="DO21" i="1"/>
  <c r="FB21" i="1"/>
  <c r="FC21" i="1" s="1"/>
  <c r="FD21" i="1" s="1"/>
  <c r="AI21" i="1"/>
  <c r="HA27" i="1"/>
  <c r="EY27" i="1"/>
  <c r="HB21" i="1"/>
  <c r="HC21" i="1" s="1"/>
  <c r="AV16" i="1"/>
  <c r="DP16" i="1"/>
  <c r="DB19" i="1"/>
  <c r="EZ19" i="1"/>
  <c r="FA19" i="1" s="1"/>
  <c r="DM19" i="1"/>
  <c r="HB12" i="1"/>
  <c r="HC12" i="1"/>
  <c r="GZ13" i="1"/>
  <c r="GY13" i="1"/>
  <c r="AV76" i="2"/>
  <c r="DP76" i="2"/>
  <c r="CZ73" i="2"/>
  <c r="DB13" i="1"/>
  <c r="EZ13" i="1"/>
  <c r="FA13" i="1" s="1"/>
  <c r="FC13" i="1" s="1"/>
  <c r="FD13" i="1" s="1"/>
  <c r="DM13" i="1"/>
  <c r="DA9" i="1"/>
  <c r="DO9" i="1"/>
  <c r="AI9" i="1"/>
  <c r="FB9" i="1"/>
  <c r="HA72" i="2"/>
  <c r="EY72" i="2"/>
  <c r="CZ69" i="2"/>
  <c r="DN69" i="2"/>
  <c r="DP67" i="2"/>
  <c r="AV67" i="2"/>
  <c r="DA60" i="2"/>
  <c r="AI60" i="2"/>
  <c r="FA60" i="2"/>
  <c r="DO60" i="2"/>
  <c r="FB60" i="2"/>
  <c r="HB55" i="2"/>
  <c r="HC55" i="2"/>
  <c r="DT50" i="2"/>
  <c r="DR50" i="2"/>
  <c r="FC50" i="2"/>
  <c r="FD50" i="2" s="1"/>
  <c r="FC54" i="2"/>
  <c r="FD54" i="2" s="1"/>
  <c r="CZ48" i="2"/>
  <c r="HA47" i="2"/>
  <c r="EY47" i="2"/>
  <c r="DP53" i="2"/>
  <c r="AV53" i="2"/>
  <c r="CZ56" i="2"/>
  <c r="EY45" i="2"/>
  <c r="HA45" i="2"/>
  <c r="AV12" i="2"/>
  <c r="DP12" i="2"/>
  <c r="DN36" i="2"/>
  <c r="CZ36" i="2"/>
  <c r="AV36" i="2"/>
  <c r="DP36" i="2"/>
  <c r="DM14" i="2"/>
  <c r="EZ14" i="2"/>
  <c r="DB14" i="2"/>
  <c r="DR34" i="2"/>
  <c r="DT34" i="2"/>
  <c r="GZ33" i="2"/>
  <c r="GY33" i="2"/>
  <c r="DA40" i="2"/>
  <c r="DO40" i="2"/>
  <c r="FB40" i="2"/>
  <c r="AI40" i="2"/>
  <c r="DN37" i="2"/>
  <c r="CZ37" i="2"/>
  <c r="AV37" i="2"/>
  <c r="DP37" i="2"/>
  <c r="EY33" i="2"/>
  <c r="EZ26" i="2"/>
  <c r="DM26" i="2"/>
  <c r="DB26" i="2"/>
  <c r="DA39" i="2"/>
  <c r="DO39" i="2"/>
  <c r="FB39" i="2"/>
  <c r="AI39" i="2"/>
  <c r="EZ39" i="2"/>
  <c r="FA39" i="2" s="1"/>
  <c r="DM39" i="2"/>
  <c r="DB39" i="2"/>
  <c r="HD39" i="2"/>
  <c r="BN39" i="2" s="1"/>
  <c r="HB15" i="2"/>
  <c r="HC15" i="2"/>
  <c r="DB25" i="2"/>
  <c r="DM25" i="2"/>
  <c r="EZ25" i="2"/>
  <c r="FA25" i="2" s="1"/>
  <c r="HA38" i="2"/>
  <c r="EY38" i="2"/>
  <c r="CZ39" i="1"/>
  <c r="DN39" i="1"/>
  <c r="AV35" i="1"/>
  <c r="DP35" i="1"/>
  <c r="DA34" i="1"/>
  <c r="DO34" i="1"/>
  <c r="FB34" i="1"/>
  <c r="AI34" i="1"/>
  <c r="EY16" i="2"/>
  <c r="DB31" i="1"/>
  <c r="DM31" i="1"/>
  <c r="EZ31" i="1"/>
  <c r="FA31" i="1" s="1"/>
  <c r="DJ23" i="1"/>
  <c r="DF23" i="1"/>
  <c r="AV32" i="1"/>
  <c r="DP32" i="1"/>
  <c r="HB24" i="1"/>
  <c r="HE24" i="1" s="1"/>
  <c r="FB25" i="1"/>
  <c r="DT20" i="1"/>
  <c r="DU20" i="1" s="1"/>
  <c r="DR20" i="1"/>
  <c r="DS20" i="1" s="1"/>
  <c r="AV28" i="1"/>
  <c r="DP28" i="1"/>
  <c r="FA15" i="1"/>
  <c r="FC14" i="1"/>
  <c r="FD14" i="1" s="1"/>
  <c r="HA20" i="1"/>
  <c r="EY20" i="1"/>
  <c r="EY13" i="1"/>
  <c r="DP78" i="2"/>
  <c r="AV78" i="2"/>
  <c r="DO78" i="2"/>
  <c r="AI78" i="2"/>
  <c r="DA78" i="2"/>
  <c r="FB78" i="2"/>
  <c r="GY77" i="2"/>
  <c r="GZ77" i="2"/>
  <c r="FC75" i="2"/>
  <c r="FD75" i="2" s="1"/>
  <c r="HB41" i="2"/>
  <c r="HC41" i="2"/>
  <c r="DA57" i="2"/>
  <c r="AI57" i="2"/>
  <c r="FB57" i="2"/>
  <c r="DO57" i="2"/>
  <c r="DB60" i="2"/>
  <c r="EZ60" i="2"/>
  <c r="DM60" i="2"/>
  <c r="DP56" i="2"/>
  <c r="AV56" i="2"/>
  <c r="CZ61" i="2"/>
  <c r="DN61" i="2"/>
  <c r="FB48" i="2"/>
  <c r="DN72" i="2"/>
  <c r="CZ72" i="2"/>
  <c r="HE65" i="2"/>
  <c r="FB67" i="2"/>
  <c r="CZ63" i="2"/>
  <c r="DJ51" i="2"/>
  <c r="DF51" i="2"/>
  <c r="DJ13" i="2"/>
  <c r="DF13" i="2"/>
  <c r="DN17" i="2"/>
  <c r="CZ17" i="2"/>
  <c r="FB17" i="2"/>
  <c r="DA17" i="2"/>
  <c r="AI17" i="2"/>
  <c r="DO17" i="2"/>
  <c r="DA23" i="2"/>
  <c r="AI23" i="2"/>
  <c r="DO23" i="2"/>
  <c r="FB23" i="2"/>
  <c r="DF30" i="2"/>
  <c r="DJ30" i="2"/>
  <c r="DT33" i="2"/>
  <c r="DR33" i="2"/>
  <c r="DM23" i="2"/>
  <c r="DB23" i="2"/>
  <c r="EZ23" i="2"/>
  <c r="FA23" i="2" s="1"/>
  <c r="GZ17" i="2"/>
  <c r="GY17" i="2"/>
  <c r="GZ13" i="2"/>
  <c r="HA29" i="2"/>
  <c r="EY29" i="2"/>
  <c r="GZ29" i="2"/>
  <c r="GY29" i="2"/>
  <c r="DJ37" i="1"/>
  <c r="DF37" i="1"/>
  <c r="DM35" i="1"/>
  <c r="AV25" i="1"/>
  <c r="DP25" i="1"/>
  <c r="GY20" i="1"/>
  <c r="GZ20" i="1"/>
  <c r="AV18" i="1"/>
  <c r="DP18" i="1"/>
  <c r="DB15" i="1"/>
  <c r="EZ15" i="1"/>
  <c r="DM15" i="1"/>
  <c r="HE78" i="2"/>
  <c r="FC74" i="2"/>
  <c r="FD74" i="2" s="1"/>
  <c r="DB73" i="2"/>
  <c r="EZ73" i="2"/>
  <c r="FA73" i="2" s="1"/>
  <c r="FC73" i="2" s="1"/>
  <c r="FD73" i="2" s="1"/>
  <c r="DM73" i="2"/>
  <c r="DA12" i="1"/>
  <c r="FB12" i="1"/>
  <c r="AI12" i="1"/>
  <c r="DO12" i="1"/>
  <c r="HA10" i="1"/>
  <c r="EY10" i="1"/>
  <c r="DJ66" i="2"/>
  <c r="DF66" i="2"/>
  <c r="DA43" i="2"/>
  <c r="AI43" i="2"/>
  <c r="FA43" i="2"/>
  <c r="DO43" i="2"/>
  <c r="FB43" i="2"/>
  <c r="HB53" i="2"/>
  <c r="HC53" i="2"/>
  <c r="DN67" i="2"/>
  <c r="CZ67" i="2"/>
  <c r="DB52" i="2"/>
  <c r="EZ52" i="2"/>
  <c r="FA52" i="2" s="1"/>
  <c r="FC52" i="2" s="1"/>
  <c r="FD52" i="2" s="1"/>
  <c r="DM52" i="2"/>
  <c r="FC51" i="2"/>
  <c r="FD51" i="2" s="1"/>
  <c r="HD54" i="2"/>
  <c r="BN54" i="2" s="1"/>
  <c r="DB48" i="2"/>
  <c r="EZ48" i="2"/>
  <c r="FA48" i="2" s="1"/>
  <c r="DM48" i="2"/>
  <c r="DJ45" i="2"/>
  <c r="DF45" i="2"/>
  <c r="DO44" i="2"/>
  <c r="FB44" i="2"/>
  <c r="DA44" i="2"/>
  <c r="AI44" i="2"/>
  <c r="DM43" i="2"/>
  <c r="DB43" i="2"/>
  <c r="EZ43" i="2"/>
  <c r="DB42" i="2"/>
  <c r="EZ42" i="2"/>
  <c r="FA42" i="2" s="1"/>
  <c r="FC42" i="2" s="1"/>
  <c r="FD42" i="2" s="1"/>
  <c r="DM42" i="2"/>
  <c r="GZ10" i="1"/>
  <c r="HB10" i="1" s="1"/>
  <c r="HC10" i="1" s="1"/>
  <c r="DR75" i="2"/>
  <c r="DT75" i="2"/>
  <c r="FC66" i="2"/>
  <c r="FD66" i="2" s="1"/>
  <c r="AI42" i="2"/>
  <c r="HD59" i="2"/>
  <c r="BN59" i="2" s="1"/>
  <c r="HD66" i="2"/>
  <c r="BN66" i="2" s="1"/>
  <c r="DN46" i="2"/>
  <c r="GY36" i="2"/>
  <c r="GY51" i="2"/>
  <c r="DN13" i="1"/>
  <c r="EY52" i="2"/>
  <c r="FB11" i="2"/>
  <c r="DA11" i="2"/>
  <c r="AI11" i="2"/>
  <c r="DO11" i="2"/>
  <c r="GY40" i="1"/>
  <c r="GZ40" i="1"/>
  <c r="DJ28" i="2"/>
  <c r="DF28" i="2"/>
  <c r="DB29" i="1"/>
  <c r="DM29" i="1"/>
  <c r="EZ29" i="1"/>
  <c r="DM20" i="2"/>
  <c r="EZ20" i="2"/>
  <c r="FA20" i="2" s="1"/>
  <c r="DB20" i="2"/>
  <c r="DM10" i="2"/>
  <c r="EZ10" i="2"/>
  <c r="FA10" i="2" s="1"/>
  <c r="FC10" i="2" s="1"/>
  <c r="FD10" i="2" s="1"/>
  <c r="DB10" i="2"/>
  <c r="DN35" i="2"/>
  <c r="CZ35" i="2"/>
  <c r="HB35" i="2"/>
  <c r="HE35" i="2" s="1"/>
  <c r="HD27" i="2"/>
  <c r="BN27" i="2" s="1"/>
  <c r="GY28" i="2"/>
  <c r="GZ28" i="2"/>
  <c r="HB37" i="1"/>
  <c r="HC37" i="1"/>
  <c r="GY12" i="2"/>
  <c r="GZ12" i="2"/>
  <c r="DJ33" i="1"/>
  <c r="DF33" i="1"/>
  <c r="HB28" i="1"/>
  <c r="HE28" i="1" s="1"/>
  <c r="HC28" i="1"/>
  <c r="GY16" i="1"/>
  <c r="GZ16" i="1"/>
  <c r="HB14" i="1"/>
  <c r="HC14" i="1"/>
  <c r="DB12" i="1"/>
  <c r="DM12" i="1"/>
  <c r="EZ12" i="1"/>
  <c r="FA12" i="1" s="1"/>
  <c r="DM76" i="2"/>
  <c r="DB76" i="2"/>
  <c r="EZ76" i="2"/>
  <c r="FA76" i="2" s="1"/>
  <c r="GZ76" i="2"/>
  <c r="GY76" i="2"/>
  <c r="DF50" i="2"/>
  <c r="DJ50" i="2"/>
  <c r="GY45" i="2"/>
  <c r="GZ45" i="2"/>
  <c r="DN47" i="2"/>
  <c r="CZ47" i="2"/>
  <c r="CZ64" i="2"/>
  <c r="DN64" i="2"/>
  <c r="DJ54" i="2"/>
  <c r="DF54" i="2"/>
  <c r="DP46" i="2"/>
  <c r="AV46" i="2"/>
  <c r="CZ12" i="2"/>
  <c r="DN12" i="2"/>
  <c r="DA36" i="2"/>
  <c r="FA36" i="2"/>
  <c r="DO36" i="2"/>
  <c r="FB36" i="2"/>
  <c r="AI36" i="2"/>
  <c r="DN38" i="2"/>
  <c r="CZ38" i="2"/>
  <c r="AV14" i="2"/>
  <c r="DP14" i="2"/>
  <c r="GY36" i="1"/>
  <c r="GZ36" i="1"/>
  <c r="HD15" i="2"/>
  <c r="BN15" i="2" s="1"/>
  <c r="HA21" i="2"/>
  <c r="GY38" i="2"/>
  <c r="GZ38" i="2"/>
  <c r="HB23" i="2"/>
  <c r="HE23" i="2" s="1"/>
  <c r="HC23" i="2"/>
  <c r="FC15" i="1"/>
  <c r="FD15" i="1" s="1"/>
  <c r="HB11" i="1"/>
  <c r="HC11" i="1"/>
  <c r="DM78" i="2"/>
  <c r="DB78" i="2"/>
  <c r="EZ78" i="2"/>
  <c r="FA78" i="2" s="1"/>
  <c r="DB63" i="2"/>
  <c r="EZ63" i="2"/>
  <c r="DM63" i="2"/>
  <c r="DP61" i="2"/>
  <c r="AV61" i="2"/>
  <c r="DT49" i="2"/>
  <c r="DR49" i="2"/>
  <c r="HB71" i="2"/>
  <c r="HD71" i="2" s="1"/>
  <c r="BN71" i="2" s="1"/>
  <c r="HC71" i="2"/>
  <c r="DA72" i="2"/>
  <c r="AI72" i="2"/>
  <c r="DO72" i="2"/>
  <c r="FB72" i="2"/>
  <c r="DR51" i="2"/>
  <c r="DT51" i="2"/>
  <c r="DR13" i="2"/>
  <c r="DT13" i="2"/>
  <c r="DR32" i="2"/>
  <c r="DT32" i="2"/>
  <c r="HB33" i="1"/>
  <c r="HC33" i="1"/>
  <c r="DR37" i="1"/>
  <c r="DS37" i="1" s="1"/>
  <c r="DT37" i="1"/>
  <c r="DU37" i="1" s="1"/>
  <c r="HA11" i="2"/>
  <c r="EY11" i="2"/>
  <c r="FC20" i="1"/>
  <c r="FD20" i="1" s="1"/>
  <c r="HE12" i="1"/>
  <c r="HA79" i="2"/>
  <c r="EY79" i="2"/>
  <c r="CZ71" i="2"/>
  <c r="DN71" i="2"/>
  <c r="DN42" i="2"/>
  <c r="CZ42" i="2"/>
  <c r="HB61" i="2"/>
  <c r="HE61" i="2" s="1"/>
  <c r="HC61" i="2"/>
  <c r="AV59" i="2"/>
  <c r="DP59" i="2"/>
  <c r="AV55" i="2"/>
  <c r="DP55" i="2"/>
  <c r="DR45" i="2"/>
  <c r="DT45" i="2"/>
  <c r="DO46" i="2"/>
  <c r="FB46" i="2"/>
  <c r="DA46" i="2"/>
  <c r="AI46" i="2"/>
  <c r="FB19" i="1"/>
  <c r="HB78" i="2"/>
  <c r="HC78" i="2"/>
  <c r="DJ10" i="1"/>
  <c r="DF10" i="1"/>
  <c r="DB39" i="1"/>
  <c r="DJ20" i="2"/>
  <c r="DN9" i="2"/>
  <c r="CZ9" i="2"/>
  <c r="FB9" i="2"/>
  <c r="DA9" i="2"/>
  <c r="AI9" i="2"/>
  <c r="DO9" i="2"/>
  <c r="FA9" i="2"/>
  <c r="AV18" i="2"/>
  <c r="DP18" i="2"/>
  <c r="CZ18" i="2"/>
  <c r="DN18" i="2"/>
  <c r="EZ11" i="2"/>
  <c r="FA11" i="2" s="1"/>
  <c r="DB11" i="2"/>
  <c r="DM11" i="2"/>
  <c r="AV26" i="2"/>
  <c r="DP26" i="2"/>
  <c r="FC31" i="2"/>
  <c r="FD31" i="2" s="1"/>
  <c r="DN25" i="2"/>
  <c r="AV27" i="2"/>
  <c r="DP27" i="2"/>
  <c r="DA22" i="2"/>
  <c r="FA22" i="2"/>
  <c r="AI22" i="2"/>
  <c r="DO22" i="2"/>
  <c r="FB22" i="2"/>
  <c r="AV22" i="2"/>
  <c r="DP22" i="2"/>
  <c r="DR29" i="2"/>
  <c r="DT29" i="2"/>
  <c r="AI21" i="2"/>
  <c r="DO21" i="2"/>
  <c r="FB21" i="2"/>
  <c r="DA21" i="2"/>
  <c r="HA13" i="2"/>
  <c r="GY30" i="2"/>
  <c r="GZ30" i="2"/>
  <c r="EY26" i="2"/>
  <c r="HA26" i="2"/>
  <c r="DN35" i="1"/>
  <c r="DA29" i="1"/>
  <c r="FA29" i="1"/>
  <c r="DO29" i="1"/>
  <c r="FB29" i="1"/>
  <c r="AI29" i="1"/>
  <c r="DA38" i="1"/>
  <c r="DO38" i="1"/>
  <c r="FB38" i="1"/>
  <c r="AI38" i="1"/>
  <c r="FA38" i="1"/>
  <c r="FC33" i="1"/>
  <c r="FD33" i="1" s="1"/>
  <c r="HA40" i="2"/>
  <c r="HB30" i="1"/>
  <c r="HD30" i="1" s="1"/>
  <c r="BN30" i="1" s="1"/>
  <c r="AV29" i="1"/>
  <c r="DP29" i="1"/>
  <c r="DR27" i="1"/>
  <c r="DS27" i="1" s="1"/>
  <c r="DT27" i="1"/>
  <c r="DU27" i="1" s="1"/>
  <c r="AV8" i="2"/>
  <c r="DP8" i="2"/>
  <c r="CZ20" i="2"/>
  <c r="DF20" i="2" s="1"/>
  <c r="DN20" i="2"/>
  <c r="DR20" i="2" s="1"/>
  <c r="CZ10" i="2"/>
  <c r="DN10" i="2"/>
  <c r="DM16" i="2"/>
  <c r="EZ16" i="2"/>
  <c r="FA16" i="2" s="1"/>
  <c r="FC16" i="2" s="1"/>
  <c r="FD16" i="2" s="1"/>
  <c r="DB16" i="2"/>
  <c r="AV19" i="2"/>
  <c r="DP19" i="2"/>
  <c r="DR31" i="2"/>
  <c r="DT31" i="2"/>
  <c r="DA35" i="2"/>
  <c r="FA35" i="2"/>
  <c r="DO35" i="2"/>
  <c r="FB35" i="2"/>
  <c r="FC35" i="2" s="1"/>
  <c r="FD35" i="2" s="1"/>
  <c r="AI35" i="2"/>
  <c r="AV35" i="2"/>
  <c r="DP35" i="2"/>
  <c r="GZ21" i="2"/>
  <c r="GY21" i="2"/>
  <c r="GY34" i="2"/>
  <c r="GZ34" i="2"/>
  <c r="GY32" i="1"/>
  <c r="GZ32" i="1"/>
  <c r="HE20" i="2"/>
  <c r="DB25" i="1"/>
  <c r="EZ25" i="1"/>
  <c r="FA25" i="1" s="1"/>
  <c r="DM25" i="1"/>
  <c r="AV24" i="1"/>
  <c r="DP24" i="1"/>
  <c r="HA22" i="1"/>
  <c r="EY22" i="1"/>
  <c r="HA73" i="2"/>
  <c r="EY73" i="2"/>
  <c r="DN73" i="2"/>
  <c r="DJ70" i="2"/>
  <c r="DF70" i="2"/>
  <c r="FC79" i="2"/>
  <c r="FD79" i="2" s="1"/>
  <c r="HE71" i="2"/>
  <c r="DP68" i="2"/>
  <c r="AV68" i="2"/>
  <c r="DP64" i="2"/>
  <c r="AV64" i="2"/>
  <c r="EY67" i="2"/>
  <c r="HA67" i="2"/>
  <c r="DB67" i="2"/>
  <c r="EZ67" i="2"/>
  <c r="FA67" i="2" s="1"/>
  <c r="DM67" i="2"/>
  <c r="GY60" i="2"/>
  <c r="GZ60" i="2"/>
  <c r="HB58" i="2"/>
  <c r="HC58" i="2" s="1"/>
  <c r="GY56" i="2"/>
  <c r="GZ56" i="2"/>
  <c r="HD55" i="2"/>
  <c r="BN55" i="2" s="1"/>
  <c r="DN48" i="2"/>
  <c r="DT48" i="2" s="1"/>
  <c r="AV48" i="2"/>
  <c r="DA47" i="2"/>
  <c r="AI47" i="2"/>
  <c r="DO47" i="2"/>
  <c r="FB47" i="2"/>
  <c r="DR41" i="2"/>
  <c r="DT41" i="2"/>
  <c r="HB69" i="2"/>
  <c r="HC69" i="2" s="1"/>
  <c r="DB77" i="2"/>
  <c r="EZ77" i="2"/>
  <c r="DM77" i="2"/>
  <c r="HE55" i="2"/>
  <c r="FB20" i="2"/>
  <c r="DM12" i="2"/>
  <c r="DB12" i="2"/>
  <c r="EZ12" i="2"/>
  <c r="FA12" i="2" s="1"/>
  <c r="EZ15" i="2"/>
  <c r="FA15" i="2" s="1"/>
  <c r="DB15" i="2"/>
  <c r="DM15" i="2"/>
  <c r="FA14" i="2"/>
  <c r="FB14" i="2"/>
  <c r="FC14" i="2" s="1"/>
  <c r="FD14" i="2" s="1"/>
  <c r="DA14" i="2"/>
  <c r="AI14" i="2"/>
  <c r="DO14" i="2"/>
  <c r="DB40" i="2"/>
  <c r="EZ40" i="2"/>
  <c r="FA40" i="2" s="1"/>
  <c r="DM40" i="2"/>
  <c r="DA24" i="2"/>
  <c r="DO24" i="2"/>
  <c r="FB24" i="2"/>
  <c r="FC24" i="2" s="1"/>
  <c r="FD24" i="2" s="1"/>
  <c r="AI24" i="2"/>
  <c r="FA24" i="2"/>
  <c r="AV24" i="2"/>
  <c r="DP24" i="2"/>
  <c r="DN39" i="2"/>
  <c r="CZ39" i="2"/>
  <c r="AV39" i="2"/>
  <c r="DP39" i="2"/>
  <c r="FC40" i="1"/>
  <c r="FD40" i="1" s="1"/>
  <c r="FC36" i="1"/>
  <c r="FD36" i="1" s="1"/>
  <c r="HB8" i="2"/>
  <c r="HE8" i="2" s="1"/>
  <c r="HE27" i="2"/>
  <c r="EY32" i="1"/>
  <c r="CZ34" i="1"/>
  <c r="DN34" i="1"/>
  <c r="DT22" i="1"/>
  <c r="DU22" i="1" s="1"/>
  <c r="DR22" i="1"/>
  <c r="DS22" i="1" s="1"/>
  <c r="AV21" i="1"/>
  <c r="DP21" i="1"/>
  <c r="HE37" i="1"/>
  <c r="DA32" i="1"/>
  <c r="DO32" i="1"/>
  <c r="FB32" i="1"/>
  <c r="AI32" i="1"/>
  <c r="AV31" i="1"/>
  <c r="DP31" i="1"/>
  <c r="DJ20" i="1"/>
  <c r="DF20" i="1"/>
  <c r="DA28" i="1"/>
  <c r="DO28" i="1"/>
  <c r="FB28" i="1"/>
  <c r="FC28" i="1" s="1"/>
  <c r="FD28" i="1" s="1"/>
  <c r="AI28" i="1"/>
  <c r="FA28" i="1"/>
  <c r="FC27" i="1"/>
  <c r="FD27" i="1" s="1"/>
  <c r="DP73" i="2"/>
  <c r="AV73" i="2"/>
  <c r="GZ79" i="2"/>
  <c r="GY79" i="2"/>
  <c r="CZ78" i="2"/>
  <c r="DN78" i="2"/>
  <c r="DB9" i="1"/>
  <c r="EZ9" i="1"/>
  <c r="FA9" i="1" s="1"/>
  <c r="DM9" i="1"/>
  <c r="HD41" i="2"/>
  <c r="BN41" i="2" s="1"/>
  <c r="DM57" i="2"/>
  <c r="DB57" i="2"/>
  <c r="EZ57" i="2"/>
  <c r="FA57" i="2" s="1"/>
  <c r="CZ57" i="2"/>
  <c r="DJ57" i="2" s="1"/>
  <c r="DN57" i="2"/>
  <c r="EY63" i="2"/>
  <c r="DP63" i="2"/>
  <c r="AV63" i="2"/>
  <c r="FC45" i="2"/>
  <c r="FD45" i="2" s="1"/>
  <c r="GZ23" i="1"/>
  <c r="GY23" i="1"/>
  <c r="HE11" i="1"/>
  <c r="AI13" i="1"/>
  <c r="DP23" i="2"/>
  <c r="AV23" i="2"/>
  <c r="AI16" i="2"/>
  <c r="DT30" i="2"/>
  <c r="DR30" i="2"/>
  <c r="DT36" i="1"/>
  <c r="DU36" i="1" s="1"/>
  <c r="DR36" i="1"/>
  <c r="DS36" i="1" s="1"/>
  <c r="DA39" i="1"/>
  <c r="FA39" i="1"/>
  <c r="DO39" i="1"/>
  <c r="FB39" i="1"/>
  <c r="AI39" i="1"/>
  <c r="HE31" i="1"/>
  <c r="FC22" i="1"/>
  <c r="FD22" i="1" s="1"/>
  <c r="DR14" i="1"/>
  <c r="DS14" i="1" s="1"/>
  <c r="DT14" i="1"/>
  <c r="DU14" i="1" s="1"/>
  <c r="HB74" i="2"/>
  <c r="HC74" i="2" s="1"/>
  <c r="HE14" i="1"/>
  <c r="GZ9" i="1"/>
  <c r="GY9" i="1"/>
  <c r="AV12" i="1"/>
  <c r="DP12" i="1"/>
  <c r="FB76" i="2"/>
  <c r="FC76" i="2" s="1"/>
  <c r="FD76" i="2" s="1"/>
  <c r="DO71" i="2"/>
  <c r="FB71" i="2"/>
  <c r="DA71" i="2"/>
  <c r="AI71" i="2"/>
  <c r="FA71" i="2"/>
  <c r="HE41" i="2"/>
  <c r="DA59" i="2"/>
  <c r="AI59" i="2"/>
  <c r="DO59" i="2"/>
  <c r="FB59" i="2"/>
  <c r="DA55" i="2"/>
  <c r="AI55" i="2"/>
  <c r="DO55" i="2"/>
  <c r="FB55" i="2"/>
  <c r="FC41" i="2"/>
  <c r="FD41" i="2" s="1"/>
  <c r="DP42" i="2"/>
  <c r="AV42" i="2"/>
  <c r="DT17" i="1"/>
  <c r="DU17" i="1" s="1"/>
  <c r="DR17" i="1"/>
  <c r="DS17" i="1" s="1"/>
  <c r="DB16" i="1"/>
  <c r="DM16" i="1"/>
  <c r="EZ16" i="1"/>
  <c r="DF75" i="2"/>
  <c r="DJ75" i="2"/>
  <c r="HE53" i="2"/>
  <c r="DP44" i="2"/>
  <c r="AV44" i="2"/>
  <c r="AV21" i="2"/>
  <c r="CZ76" i="2"/>
  <c r="DN29" i="1"/>
  <c r="DN19" i="1"/>
  <c r="HE15" i="2"/>
  <c r="DJ8" i="1"/>
  <c r="DF8" i="1"/>
  <c r="GY40" i="2"/>
  <c r="GZ40" i="2"/>
  <c r="CZ16" i="2"/>
  <c r="DN16" i="2"/>
  <c r="DT40" i="1"/>
  <c r="DU40" i="1" s="1"/>
  <c r="DR40" i="1"/>
  <c r="DS40" i="1" s="1"/>
  <c r="HA36" i="2"/>
  <c r="EY36" i="2"/>
  <c r="CZ24" i="1"/>
  <c r="DN24" i="1"/>
  <c r="HB18" i="1"/>
  <c r="HC18" i="1"/>
  <c r="HD12" i="1"/>
  <c r="BN12" i="1" s="1"/>
  <c r="HB68" i="2"/>
  <c r="HE68" i="2" s="1"/>
  <c r="HC68" i="2"/>
  <c r="AV13" i="1"/>
  <c r="DP13" i="1"/>
  <c r="HA15" i="1"/>
  <c r="EY15" i="1"/>
  <c r="DT74" i="2"/>
  <c r="DR74" i="2"/>
  <c r="HB43" i="2"/>
  <c r="HE43" i="2" s="1"/>
  <c r="HC43" i="2"/>
  <c r="DP69" i="2"/>
  <c r="AV69" i="2"/>
  <c r="DT58" i="2"/>
  <c r="DR58" i="2"/>
  <c r="HC49" i="2"/>
  <c r="HB49" i="2"/>
  <c r="HE49" i="2" s="1"/>
  <c r="AI20" i="2"/>
  <c r="DN15" i="2"/>
  <c r="CZ15" i="2"/>
  <c r="DM36" i="2"/>
  <c r="DB36" i="2"/>
  <c r="EZ36" i="2"/>
  <c r="DF34" i="2"/>
  <c r="DJ34" i="2"/>
  <c r="AV34" i="1"/>
  <c r="DP34" i="1"/>
  <c r="HE18" i="1"/>
  <c r="HA18" i="2"/>
  <c r="EY18" i="2"/>
  <c r="FA18" i="2"/>
  <c r="FB18" i="2"/>
  <c r="FC18" i="2" s="1"/>
  <c r="FD18" i="2" s="1"/>
  <c r="DA18" i="2"/>
  <c r="AI18" i="2"/>
  <c r="DO18" i="2"/>
  <c r="AV11" i="2"/>
  <c r="DP11" i="2"/>
  <c r="CZ25" i="2"/>
  <c r="DA27" i="2"/>
  <c r="AI27" i="2"/>
  <c r="FA27" i="2"/>
  <c r="DO27" i="2"/>
  <c r="FB27" i="2"/>
  <c r="DN22" i="2"/>
  <c r="CZ22" i="2"/>
  <c r="GZ37" i="2"/>
  <c r="GY37" i="2"/>
  <c r="DB21" i="2"/>
  <c r="DM21" i="2"/>
  <c r="EZ21" i="2"/>
  <c r="FA21" i="2" s="1"/>
  <c r="CZ21" i="2"/>
  <c r="DN21" i="2"/>
  <c r="DT21" i="2" s="1"/>
  <c r="HA30" i="2"/>
  <c r="EY30" i="2"/>
  <c r="GY22" i="2"/>
  <c r="GZ22" i="2"/>
  <c r="HA22" i="2"/>
  <c r="EY22" i="2"/>
  <c r="HA8" i="1"/>
  <c r="EY8" i="1"/>
  <c r="GZ8" i="1"/>
  <c r="GY8" i="1"/>
  <c r="DT8" i="1"/>
  <c r="DU8" i="1" s="1"/>
  <c r="DR8" i="1"/>
  <c r="DS8" i="1" s="1"/>
  <c r="CZ38" i="1"/>
  <c r="DN38" i="1"/>
  <c r="EY24" i="2"/>
  <c r="HD34" i="1"/>
  <c r="BN34" i="1" s="1"/>
  <c r="HE21" i="1"/>
  <c r="GY22" i="1"/>
  <c r="GZ22" i="1"/>
  <c r="GY17" i="1"/>
  <c r="GZ17" i="1"/>
  <c r="DJ27" i="1"/>
  <c r="DF27" i="1"/>
  <c r="DM8" i="2"/>
  <c r="EZ8" i="2"/>
  <c r="FA8" i="2" s="1"/>
  <c r="FC8" i="2" s="1"/>
  <c r="FD8" i="2" s="1"/>
  <c r="DB8" i="2"/>
  <c r="AV10" i="2"/>
  <c r="DP10" i="2"/>
  <c r="DN19" i="2"/>
  <c r="CZ19" i="2"/>
  <c r="FB19" i="2"/>
  <c r="DA19" i="2"/>
  <c r="AI19" i="2"/>
  <c r="DO19" i="2"/>
  <c r="FA19" i="2"/>
  <c r="FB12" i="2"/>
  <c r="FC12" i="2" s="1"/>
  <c r="FD12" i="2" s="1"/>
  <c r="HA34" i="2"/>
  <c r="EY34" i="2"/>
  <c r="HD37" i="1"/>
  <c r="BN37" i="1" s="1"/>
  <c r="DR33" i="1"/>
  <c r="DS33" i="1" s="1"/>
  <c r="DT33" i="1"/>
  <c r="DU33" i="1" s="1"/>
  <c r="DT30" i="1"/>
  <c r="DU30" i="1" s="1"/>
  <c r="DR30" i="1"/>
  <c r="DS30" i="1" s="1"/>
  <c r="FC30" i="1"/>
  <c r="FD30" i="1" s="1"/>
  <c r="HB29" i="1"/>
  <c r="HD29" i="1" s="1"/>
  <c r="BN29" i="1" s="1"/>
  <c r="HD28" i="1"/>
  <c r="BN28" i="1" s="1"/>
  <c r="DA24" i="1"/>
  <c r="AI24" i="1"/>
  <c r="FA24" i="1"/>
  <c r="FB24" i="1"/>
  <c r="DO24" i="1"/>
  <c r="FC23" i="1"/>
  <c r="FD23" i="1" s="1"/>
  <c r="HE33" i="1"/>
  <c r="DB18" i="1"/>
  <c r="EZ18" i="1"/>
  <c r="FA18" i="1" s="1"/>
  <c r="DM18" i="1"/>
  <c r="HD18" i="1"/>
  <c r="BN18" i="1" s="1"/>
  <c r="HD14" i="1"/>
  <c r="BN14" i="1" s="1"/>
  <c r="HD68" i="2"/>
  <c r="BN68" i="2" s="1"/>
  <c r="DT70" i="2"/>
  <c r="DR70" i="2"/>
  <c r="DJ74" i="2"/>
  <c r="DF74" i="2"/>
  <c r="EZ71" i="2"/>
  <c r="DM68" i="2"/>
  <c r="DB68" i="2"/>
  <c r="EZ68" i="2"/>
  <c r="AI68" i="2"/>
  <c r="DA68" i="2"/>
  <c r="FA68" i="2"/>
  <c r="DO68" i="2"/>
  <c r="FB68" i="2"/>
  <c r="HD43" i="2"/>
  <c r="BN43" i="2" s="1"/>
  <c r="DF65" i="2"/>
  <c r="DJ65" i="2"/>
  <c r="DA63" i="2"/>
  <c r="AI63" i="2"/>
  <c r="FA63" i="2"/>
  <c r="DO63" i="2"/>
  <c r="FB63" i="2"/>
  <c r="DF58" i="2"/>
  <c r="DJ58" i="2"/>
  <c r="HA48" i="2"/>
  <c r="EY48" i="2"/>
  <c r="GZ44" i="2"/>
  <c r="GY44" i="2"/>
  <c r="DB46" i="2"/>
  <c r="DM46" i="2"/>
  <c r="EZ46" i="2"/>
  <c r="FA46" i="2" s="1"/>
  <c r="DM53" i="2"/>
  <c r="DB53" i="2"/>
  <c r="EZ53" i="2"/>
  <c r="FA53" i="2" s="1"/>
  <c r="DO53" i="2"/>
  <c r="FB53" i="2"/>
  <c r="AI53" i="2"/>
  <c r="DA53" i="2"/>
  <c r="FC49" i="2"/>
  <c r="FD49" i="2" s="1"/>
  <c r="AV47" i="2"/>
  <c r="DP47" i="2"/>
  <c r="GZ15" i="1"/>
  <c r="GY15" i="1"/>
  <c r="DP77" i="2"/>
  <c r="AV77" i="2"/>
  <c r="DM64" i="2"/>
  <c r="DB64" i="2"/>
  <c r="EZ64" i="2"/>
  <c r="FA64" i="2" s="1"/>
  <c r="DA64" i="2"/>
  <c r="AI64" i="2"/>
  <c r="FB64" i="2"/>
  <c r="DO64" i="2"/>
  <c r="DT54" i="2"/>
  <c r="DR54" i="2"/>
  <c r="HD49" i="2"/>
  <c r="BN49" i="2" s="1"/>
  <c r="AV15" i="2"/>
  <c r="DP15" i="2"/>
  <c r="DA38" i="2"/>
  <c r="FA38" i="2"/>
  <c r="DO38" i="2"/>
  <c r="FB38" i="2"/>
  <c r="AI38" i="2"/>
  <c r="DM38" i="2"/>
  <c r="DB38" i="2"/>
  <c r="EZ38" i="2"/>
  <c r="CZ14" i="2"/>
  <c r="DN14" i="2"/>
  <c r="CZ23" i="2"/>
  <c r="DN23" i="2"/>
  <c r="FC30" i="2"/>
  <c r="FD30" i="2" s="1"/>
  <c r="DN40" i="2"/>
  <c r="CZ40" i="2"/>
  <c r="AV40" i="2"/>
  <c r="DP40" i="2"/>
  <c r="DA37" i="2"/>
  <c r="DO37" i="2"/>
  <c r="FB37" i="2"/>
  <c r="AI37" i="2"/>
  <c r="DM37" i="2"/>
  <c r="DB37" i="2"/>
  <c r="EZ37" i="2"/>
  <c r="FA37" i="2" s="1"/>
  <c r="EY25" i="2"/>
  <c r="CZ24" i="2"/>
  <c r="DN24" i="2"/>
  <c r="EY21" i="2"/>
  <c r="HD23" i="2"/>
  <c r="BN23" i="2" s="1"/>
  <c r="HB19" i="2"/>
  <c r="HE19" i="2" s="1"/>
  <c r="GZ35" i="1"/>
  <c r="GY35" i="1"/>
  <c r="DB34" i="1"/>
  <c r="DM34" i="1"/>
  <c r="EZ34" i="1"/>
  <c r="FA34" i="1" s="1"/>
  <c r="EY32" i="2"/>
  <c r="FC8" i="1"/>
  <c r="FD8" i="1" s="1"/>
  <c r="EY16" i="1"/>
  <c r="DB32" i="1"/>
  <c r="DM32" i="1"/>
  <c r="EZ32" i="1"/>
  <c r="FA32" i="1" s="1"/>
  <c r="CZ32" i="1"/>
  <c r="DN32" i="1"/>
  <c r="AI25" i="1"/>
  <c r="CZ28" i="1"/>
  <c r="DN28" i="1"/>
  <c r="HE74" i="2"/>
  <c r="FC17" i="1"/>
  <c r="FD17" i="1" s="1"/>
  <c r="HD11" i="1"/>
  <c r="BN11" i="1" s="1"/>
  <c r="AV9" i="1"/>
  <c r="DP9" i="1"/>
  <c r="HB75" i="2"/>
  <c r="HD75" i="2" s="1"/>
  <c r="BN75" i="2" s="1"/>
  <c r="EY76" i="2"/>
  <c r="CZ43" i="2"/>
  <c r="DN43" i="2"/>
  <c r="HA63" i="2"/>
  <c r="DP60" i="2"/>
  <c r="AV60" i="2"/>
  <c r="DB56" i="2"/>
  <c r="EZ56" i="2"/>
  <c r="FA56" i="2" s="1"/>
  <c r="DM56" i="2"/>
  <c r="DM61" i="2"/>
  <c r="DB61" i="2"/>
  <c r="EZ61" i="2"/>
  <c r="FA61" i="2" s="1"/>
  <c r="HE66" i="2"/>
  <c r="EY57" i="2"/>
  <c r="HA57" i="2"/>
  <c r="GY57" i="2"/>
  <c r="GZ57" i="2"/>
  <c r="DJ49" i="2"/>
  <c r="DF49" i="2"/>
  <c r="EY44" i="2"/>
  <c r="HA23" i="1"/>
  <c r="EY23" i="1"/>
  <c r="FB18" i="1"/>
  <c r="FC18" i="1" s="1"/>
  <c r="FD18" i="1" s="1"/>
  <c r="GY73" i="2"/>
  <c r="GZ73" i="2"/>
  <c r="HB70" i="2"/>
  <c r="HE70" i="2" s="1"/>
  <c r="DN9" i="1"/>
  <c r="EZ72" i="2"/>
  <c r="FA72" i="2" s="1"/>
  <c r="DM72" i="2"/>
  <c r="DB72" i="2"/>
  <c r="HE58" i="2"/>
  <c r="AI67" i="2"/>
  <c r="HB46" i="2"/>
  <c r="HE46" i="2" s="1"/>
  <c r="HD20" i="2"/>
  <c r="BN20" i="2" s="1"/>
  <c r="EZ17" i="2"/>
  <c r="FA17" i="2" s="1"/>
  <c r="DB17" i="2"/>
  <c r="DM17" i="2"/>
  <c r="HC31" i="2"/>
  <c r="HB31" i="2"/>
  <c r="HD31" i="2" s="1"/>
  <c r="BN31" i="2" s="1"/>
  <c r="FC33" i="2"/>
  <c r="FD33" i="2" s="1"/>
  <c r="DJ32" i="2"/>
  <c r="DF32" i="2"/>
  <c r="DJ36" i="1"/>
  <c r="DF36" i="1"/>
  <c r="HD33" i="1"/>
  <c r="BN33" i="1" s="1"/>
  <c r="GY9" i="2"/>
  <c r="GZ9" i="2"/>
  <c r="EY28" i="2"/>
  <c r="GY11" i="2"/>
  <c r="GZ11" i="2"/>
  <c r="HD38" i="1"/>
  <c r="BN38" i="1" s="1"/>
  <c r="HE30" i="1"/>
  <c r="GY26" i="1"/>
  <c r="GZ26" i="1"/>
  <c r="GZ19" i="1"/>
  <c r="GY19" i="1"/>
  <c r="AV15" i="1"/>
  <c r="DP15" i="1"/>
  <c r="DJ14" i="1"/>
  <c r="DF14" i="1"/>
  <c r="GZ72" i="2"/>
  <c r="GY72" i="2"/>
  <c r="DJ11" i="1"/>
  <c r="DF11" i="1"/>
  <c r="DA77" i="2"/>
  <c r="AI77" i="2"/>
  <c r="FA77" i="2"/>
  <c r="DO77" i="2"/>
  <c r="FB77" i="2"/>
  <c r="FC70" i="2"/>
  <c r="FD70" i="2" s="1"/>
  <c r="DP71" i="2"/>
  <c r="AV71" i="2"/>
  <c r="EY64" i="2"/>
  <c r="HA64" i="2"/>
  <c r="HB42" i="2"/>
  <c r="HD42" i="2" s="1"/>
  <c r="BN42" i="2" s="1"/>
  <c r="HD61" i="2"/>
  <c r="BN61" i="2" s="1"/>
  <c r="DN59" i="2"/>
  <c r="CZ59" i="2"/>
  <c r="DM59" i="2"/>
  <c r="EZ59" i="2"/>
  <c r="FA59" i="2" s="1"/>
  <c r="DB59" i="2"/>
  <c r="DN55" i="2"/>
  <c r="CZ55" i="2"/>
  <c r="DM55" i="2"/>
  <c r="EZ55" i="2"/>
  <c r="FA55" i="2" s="1"/>
  <c r="DB55" i="2"/>
  <c r="DP52" i="2"/>
  <c r="AV52" i="2"/>
  <c r="HE59" i="2"/>
  <c r="GZ47" i="2"/>
  <c r="GY47" i="2"/>
  <c r="DM47" i="2"/>
  <c r="DB47" i="2"/>
  <c r="EZ47" i="2"/>
  <c r="FA47" i="2" s="1"/>
  <c r="HA51" i="2"/>
  <c r="EY51" i="2"/>
  <c r="DP43" i="2"/>
  <c r="AV43" i="2"/>
  <c r="AI19" i="1"/>
  <c r="DJ17" i="1"/>
  <c r="DF17" i="1"/>
  <c r="DA16" i="1"/>
  <c r="FA16" i="1"/>
  <c r="FB16" i="1"/>
  <c r="FC16" i="1" s="1"/>
  <c r="FD16" i="1" s="1"/>
  <c r="AI16" i="1"/>
  <c r="DO16" i="1"/>
  <c r="HD78" i="2"/>
  <c r="BN78" i="2" s="1"/>
  <c r="DF79" i="2"/>
  <c r="DJ79" i="2"/>
  <c r="DR10" i="1"/>
  <c r="DS10" i="1" s="1"/>
  <c r="DT10" i="1"/>
  <c r="DU10" i="1" s="1"/>
  <c r="GY67" i="2"/>
  <c r="GZ67" i="2"/>
  <c r="HB50" i="2"/>
  <c r="EY36" i="1"/>
  <c r="EY77" i="2"/>
  <c r="BP23" i="2" l="1"/>
  <c r="HI23" i="2"/>
  <c r="HF23" i="2"/>
  <c r="HJ23" i="2"/>
  <c r="HG23" i="2"/>
  <c r="HF43" i="2"/>
  <c r="HH43" i="2" s="1"/>
  <c r="BO43" i="2" s="1"/>
  <c r="HG43" i="2"/>
  <c r="HJ43" i="2"/>
  <c r="HI43" i="2"/>
  <c r="BP43" i="2"/>
  <c r="HF68" i="2"/>
  <c r="HG68" i="2"/>
  <c r="HJ68" i="2"/>
  <c r="BP68" i="2"/>
  <c r="HI68" i="2"/>
  <c r="DK57" i="2"/>
  <c r="DG57" i="2"/>
  <c r="DH57" i="2" s="1"/>
  <c r="HF35" i="2"/>
  <c r="HJ35" i="2"/>
  <c r="HG35" i="2"/>
  <c r="HI35" i="2"/>
  <c r="HF61" i="2"/>
  <c r="HG61" i="2"/>
  <c r="HJ61" i="2"/>
  <c r="BP61" i="2"/>
  <c r="HI61" i="2"/>
  <c r="HG28" i="1"/>
  <c r="HJ28" i="1"/>
  <c r="HI28" i="1"/>
  <c r="BP28" i="1"/>
  <c r="HF28" i="1"/>
  <c r="HH28" i="1" s="1"/>
  <c r="HF70" i="2"/>
  <c r="HG70" i="2"/>
  <c r="HJ70" i="2"/>
  <c r="HI70" i="2"/>
  <c r="HG8" i="2"/>
  <c r="HI8" i="2"/>
  <c r="HF8" i="2"/>
  <c r="HJ8" i="2"/>
  <c r="DT15" i="1"/>
  <c r="DU15" i="1" s="1"/>
  <c r="DR15" i="1"/>
  <c r="DS15" i="1" s="1"/>
  <c r="HI58" i="2"/>
  <c r="BP58" i="2"/>
  <c r="HF58" i="2"/>
  <c r="HH58" i="2" s="1"/>
  <c r="BO58" i="2" s="1"/>
  <c r="HG58" i="2"/>
  <c r="HJ58" i="2"/>
  <c r="FC64" i="2"/>
  <c r="FD64" i="2" s="1"/>
  <c r="DT77" i="2"/>
  <c r="DR77" i="2"/>
  <c r="HB23" i="1"/>
  <c r="HC23" i="1"/>
  <c r="DG20" i="1"/>
  <c r="DH20" i="1" s="1"/>
  <c r="W20" i="1" s="1"/>
  <c r="DK20" i="1"/>
  <c r="AY20" i="1" s="1"/>
  <c r="U20" i="1" s="1"/>
  <c r="HF37" i="1"/>
  <c r="HG37" i="1"/>
  <c r="HJ37" i="1"/>
  <c r="HI37" i="1"/>
  <c r="BP37" i="1"/>
  <c r="DT39" i="2"/>
  <c r="DR39" i="2"/>
  <c r="DR24" i="2"/>
  <c r="DT24" i="2"/>
  <c r="HB60" i="2"/>
  <c r="HE60" i="2" s="1"/>
  <c r="HC60" i="2"/>
  <c r="DJ68" i="2"/>
  <c r="DF68" i="2"/>
  <c r="DK70" i="2"/>
  <c r="DG70" i="2"/>
  <c r="DH70" i="2" s="1"/>
  <c r="HE31" i="2"/>
  <c r="DJ8" i="2"/>
  <c r="DF8" i="2"/>
  <c r="DJ29" i="1"/>
  <c r="DF29" i="1"/>
  <c r="DT22" i="2"/>
  <c r="DR22" i="2"/>
  <c r="DJ27" i="2"/>
  <c r="DF27" i="2"/>
  <c r="DJ26" i="2"/>
  <c r="DF26" i="2"/>
  <c r="FC9" i="2"/>
  <c r="FD9" i="2" s="1"/>
  <c r="DK20" i="2"/>
  <c r="DG20" i="2"/>
  <c r="DH20" i="2" s="1"/>
  <c r="DR59" i="2"/>
  <c r="DT59" i="2"/>
  <c r="HD46" i="2"/>
  <c r="BN46" i="2" s="1"/>
  <c r="HE42" i="2"/>
  <c r="HB38" i="2"/>
  <c r="HC38" i="2" s="1"/>
  <c r="HB36" i="1"/>
  <c r="HE36" i="1" s="1"/>
  <c r="HC36" i="1"/>
  <c r="DF46" i="2"/>
  <c r="DJ46" i="2"/>
  <c r="HB76" i="2"/>
  <c r="HE76" i="2" s="1"/>
  <c r="HB40" i="1"/>
  <c r="HE40" i="1" s="1"/>
  <c r="HB51" i="2"/>
  <c r="HD51" i="2" s="1"/>
  <c r="BN51" i="2" s="1"/>
  <c r="HC51" i="2"/>
  <c r="DG45" i="2"/>
  <c r="DH45" i="2" s="1"/>
  <c r="DK45" i="2"/>
  <c r="HF78" i="2"/>
  <c r="HG78" i="2"/>
  <c r="HJ78" i="2"/>
  <c r="BP78" i="2"/>
  <c r="HI78" i="2"/>
  <c r="HB20" i="1"/>
  <c r="HC20" i="1"/>
  <c r="AX37" i="1"/>
  <c r="DD37" i="1"/>
  <c r="FC23" i="2"/>
  <c r="FD23" i="2" s="1"/>
  <c r="DT78" i="2"/>
  <c r="DR78" i="2"/>
  <c r="HG24" i="1"/>
  <c r="HJ24" i="1"/>
  <c r="HI24" i="1"/>
  <c r="HF24" i="1"/>
  <c r="HH24" i="1" s="1"/>
  <c r="AX23" i="1"/>
  <c r="DD23" i="1"/>
  <c r="FC34" i="1"/>
  <c r="FD34" i="1" s="1"/>
  <c r="DJ35" i="1"/>
  <c r="DF35" i="1"/>
  <c r="HE38" i="2"/>
  <c r="DJ37" i="2"/>
  <c r="DF37" i="2"/>
  <c r="FC40" i="2"/>
  <c r="FD40" i="2" s="1"/>
  <c r="HB33" i="2"/>
  <c r="HE33" i="2" s="1"/>
  <c r="DJ36" i="2"/>
  <c r="DF36" i="2"/>
  <c r="DJ12" i="2"/>
  <c r="DF12" i="2"/>
  <c r="HD69" i="2"/>
  <c r="BN69" i="2" s="1"/>
  <c r="DR76" i="2"/>
  <c r="DT76" i="2"/>
  <c r="DG26" i="1"/>
  <c r="DH26" i="1" s="1"/>
  <c r="W26" i="1" s="1"/>
  <c r="DK26" i="1"/>
  <c r="AY26" i="1" s="1"/>
  <c r="U26" i="1" s="1"/>
  <c r="FC31" i="1"/>
  <c r="FD31" i="1" s="1"/>
  <c r="HC25" i="2"/>
  <c r="HB25" i="2"/>
  <c r="HE25" i="2" s="1"/>
  <c r="DT16" i="2"/>
  <c r="DR16" i="2"/>
  <c r="HE25" i="1"/>
  <c r="DJ39" i="1"/>
  <c r="DF39" i="1"/>
  <c r="DJ9" i="2"/>
  <c r="DF9" i="2"/>
  <c r="DD22" i="1"/>
  <c r="AX22" i="1"/>
  <c r="HB18" i="2"/>
  <c r="HD18" i="2" s="1"/>
  <c r="BN18" i="2" s="1"/>
  <c r="HC18" i="2"/>
  <c r="HB48" i="2"/>
  <c r="HC48" i="2"/>
  <c r="B22" i="6"/>
  <c r="A31" i="6" s="1"/>
  <c r="DJ25" i="2"/>
  <c r="DF25" i="2"/>
  <c r="DT38" i="2"/>
  <c r="DR38" i="2"/>
  <c r="HB24" i="2"/>
  <c r="HE24" i="2" s="1"/>
  <c r="HI34" i="1"/>
  <c r="HF34" i="1"/>
  <c r="HH34" i="1" s="1"/>
  <c r="BO34" i="1" s="1"/>
  <c r="HG34" i="1"/>
  <c r="HJ34" i="1"/>
  <c r="HB39" i="1"/>
  <c r="HC39" i="1"/>
  <c r="DT20" i="2"/>
  <c r="DR21" i="2"/>
  <c r="HB13" i="2"/>
  <c r="HC13" i="2" s="1"/>
  <c r="DJ52" i="2"/>
  <c r="DF52" i="2"/>
  <c r="HB9" i="2"/>
  <c r="HE9" i="2" s="1"/>
  <c r="HI46" i="2"/>
  <c r="HF46" i="2"/>
  <c r="HH46" i="2" s="1"/>
  <c r="HG46" i="2"/>
  <c r="HJ46" i="2"/>
  <c r="HB57" i="2"/>
  <c r="HC57" i="2"/>
  <c r="DJ9" i="1"/>
  <c r="DF9" i="1"/>
  <c r="HB8" i="1"/>
  <c r="HB2" i="1" s="1"/>
  <c r="HC8" i="1"/>
  <c r="HC2" i="1" s="1"/>
  <c r="GY2" i="1"/>
  <c r="FC55" i="2"/>
  <c r="FD55" i="2" s="1"/>
  <c r="DT63" i="2"/>
  <c r="DR63" i="2"/>
  <c r="HE51" i="2"/>
  <c r="HB47" i="2"/>
  <c r="HE47" i="2" s="1"/>
  <c r="HC47" i="2"/>
  <c r="DT52" i="2"/>
  <c r="DR52" i="2"/>
  <c r="FC77" i="2"/>
  <c r="FD77" i="2" s="1"/>
  <c r="DJ15" i="1"/>
  <c r="DF15" i="1"/>
  <c r="HB26" i="1"/>
  <c r="HE26" i="1" s="1"/>
  <c r="HB11" i="2"/>
  <c r="HD11" i="2" s="1"/>
  <c r="BN11" i="2" s="1"/>
  <c r="DG36" i="1"/>
  <c r="DH36" i="1" s="1"/>
  <c r="W36" i="1" s="1"/>
  <c r="DK36" i="1"/>
  <c r="AY36" i="1" s="1"/>
  <c r="U36" i="1" s="1"/>
  <c r="HC70" i="2"/>
  <c r="BP70" i="2" s="1"/>
  <c r="HE57" i="2"/>
  <c r="HE69" i="2"/>
  <c r="HC75" i="2"/>
  <c r="HE75" i="2"/>
  <c r="HC19" i="2"/>
  <c r="HB15" i="1"/>
  <c r="HC15" i="1" s="1"/>
  <c r="FC53" i="2"/>
  <c r="FD53" i="2" s="1"/>
  <c r="HD58" i="2"/>
  <c r="BN58" i="2" s="1"/>
  <c r="HF33" i="1"/>
  <c r="HH33" i="1" s="1"/>
  <c r="BO33" i="1" s="1"/>
  <c r="HG33" i="1"/>
  <c r="HJ33" i="1"/>
  <c r="HI33" i="1"/>
  <c r="BP33" i="1"/>
  <c r="DT10" i="2"/>
  <c r="DR10" i="2"/>
  <c r="HB17" i="1"/>
  <c r="HD17" i="1" s="1"/>
  <c r="BN17" i="1" s="1"/>
  <c r="HC17" i="1"/>
  <c r="HE29" i="1"/>
  <c r="GZ2" i="1"/>
  <c r="HD8" i="1"/>
  <c r="DR11" i="2"/>
  <c r="DT11" i="2"/>
  <c r="HE18" i="2"/>
  <c r="DT34" i="1"/>
  <c r="DU34" i="1" s="1"/>
  <c r="DR34" i="1"/>
  <c r="DS34" i="1" s="1"/>
  <c r="HE36" i="2"/>
  <c r="AX8" i="1"/>
  <c r="DD8" i="1"/>
  <c r="BP15" i="2"/>
  <c r="HI15" i="2"/>
  <c r="HF15" i="2"/>
  <c r="HH15" i="2" s="1"/>
  <c r="BO15" i="2" s="1"/>
  <c r="HJ15" i="2"/>
  <c r="HG15" i="2"/>
  <c r="DT44" i="2"/>
  <c r="DR44" i="2"/>
  <c r="DK75" i="2"/>
  <c r="DG75" i="2"/>
  <c r="DH75" i="2" s="1"/>
  <c r="DT42" i="2"/>
  <c r="DR42" i="2"/>
  <c r="FC59" i="2"/>
  <c r="FD59" i="2" s="1"/>
  <c r="HD23" i="1"/>
  <c r="BN23" i="1" s="1"/>
  <c r="HB79" i="2"/>
  <c r="HC79" i="2"/>
  <c r="DR31" i="1"/>
  <c r="DS31" i="1" s="1"/>
  <c r="DT31" i="1"/>
  <c r="DU31" i="1" s="1"/>
  <c r="FC32" i="1"/>
  <c r="FD32" i="1" s="1"/>
  <c r="DR21" i="1"/>
  <c r="DS21" i="1" s="1"/>
  <c r="DT21" i="1"/>
  <c r="DU21" i="1" s="1"/>
  <c r="HC8" i="2"/>
  <c r="BP8" i="2" s="1"/>
  <c r="DJ39" i="2"/>
  <c r="DF39" i="2"/>
  <c r="DJ24" i="2"/>
  <c r="DF24" i="2"/>
  <c r="FC20" i="2"/>
  <c r="FD20" i="2" s="1"/>
  <c r="FC47" i="2"/>
  <c r="FD47" i="2" s="1"/>
  <c r="HD56" i="2"/>
  <c r="BN56" i="2" s="1"/>
  <c r="DT68" i="2"/>
  <c r="DR68" i="2"/>
  <c r="DT24" i="1"/>
  <c r="DU24" i="1" s="1"/>
  <c r="DR24" i="1"/>
  <c r="DS24" i="1" s="1"/>
  <c r="HB34" i="2"/>
  <c r="HD34" i="2" s="1"/>
  <c r="BN34" i="2" s="1"/>
  <c r="HC34" i="2"/>
  <c r="DT35" i="2"/>
  <c r="DR35" i="2"/>
  <c r="HC30" i="1"/>
  <c r="DJ22" i="2"/>
  <c r="DF22" i="2"/>
  <c r="DJ59" i="2"/>
  <c r="DF59" i="2"/>
  <c r="HE79" i="2"/>
  <c r="HE11" i="2"/>
  <c r="DJ61" i="2"/>
  <c r="DF61" i="2"/>
  <c r="DT14" i="2"/>
  <c r="DR14" i="2"/>
  <c r="DT46" i="2"/>
  <c r="DR46" i="2"/>
  <c r="HB45" i="2"/>
  <c r="HD45" i="2" s="1"/>
  <c r="BN45" i="2" s="1"/>
  <c r="HC45" i="2"/>
  <c r="HD76" i="2"/>
  <c r="BN76" i="2" s="1"/>
  <c r="HB12" i="2"/>
  <c r="HE12" i="2" s="1"/>
  <c r="HB28" i="2"/>
  <c r="HE28" i="2" s="1"/>
  <c r="HC28" i="2"/>
  <c r="FC11" i="2"/>
  <c r="FD11" i="2" s="1"/>
  <c r="HB36" i="2"/>
  <c r="HD36" i="2" s="1"/>
  <c r="BN36" i="2" s="1"/>
  <c r="HC36" i="2"/>
  <c r="FC44" i="2"/>
  <c r="FD44" i="2" s="1"/>
  <c r="HD74" i="2"/>
  <c r="BN74" i="2" s="1"/>
  <c r="DR18" i="1"/>
  <c r="DS18" i="1" s="1"/>
  <c r="DT18" i="1"/>
  <c r="DU18" i="1" s="1"/>
  <c r="DR25" i="1"/>
  <c r="DS25" i="1" s="1"/>
  <c r="DT25" i="1"/>
  <c r="DU25" i="1" s="1"/>
  <c r="DK37" i="1"/>
  <c r="AY37" i="1" s="1"/>
  <c r="U37" i="1" s="1"/>
  <c r="DG37" i="1"/>
  <c r="DH37" i="1" s="1"/>
  <c r="W37" i="1" s="1"/>
  <c r="FC17" i="2"/>
  <c r="FD17" i="2" s="1"/>
  <c r="DG13" i="2"/>
  <c r="DH13" i="2" s="1"/>
  <c r="DK13" i="2"/>
  <c r="FC67" i="2"/>
  <c r="FD67" i="2" s="1"/>
  <c r="FC57" i="2"/>
  <c r="FD57" i="2" s="1"/>
  <c r="HB77" i="2"/>
  <c r="HE77" i="2" s="1"/>
  <c r="HC77" i="2"/>
  <c r="DG23" i="1"/>
  <c r="DH23" i="1" s="1"/>
  <c r="W23" i="1" s="1"/>
  <c r="DK23" i="1"/>
  <c r="AY23" i="1" s="1"/>
  <c r="U23" i="1" s="1"/>
  <c r="HD33" i="2"/>
  <c r="BN33" i="2" s="1"/>
  <c r="HE45" i="2"/>
  <c r="DJ53" i="2"/>
  <c r="DF53" i="2"/>
  <c r="DJ67" i="2"/>
  <c r="DF67" i="2"/>
  <c r="DJ76" i="2"/>
  <c r="DF76" i="2"/>
  <c r="DT16" i="1"/>
  <c r="DU16" i="1" s="1"/>
  <c r="DR16" i="1"/>
  <c r="DS16" i="1" s="1"/>
  <c r="DD40" i="1"/>
  <c r="AX40" i="1"/>
  <c r="HD25" i="2"/>
  <c r="BN25" i="2" s="1"/>
  <c r="DJ16" i="2"/>
  <c r="DF16" i="2"/>
  <c r="HE17" i="1"/>
  <c r="HE39" i="1"/>
  <c r="Q20" i="6"/>
  <c r="D21" i="6" s="1"/>
  <c r="Q25" i="6" s="1"/>
  <c r="R20" i="6"/>
  <c r="I21" i="6" s="1"/>
  <c r="V25" i="6" s="1"/>
  <c r="DR17" i="2"/>
  <c r="DT17" i="2"/>
  <c r="DR72" i="2"/>
  <c r="DT72" i="2"/>
  <c r="HD24" i="1"/>
  <c r="BN24" i="1" s="1"/>
  <c r="DJ38" i="2"/>
  <c r="DF38" i="2"/>
  <c r="HC63" i="2"/>
  <c r="HB63" i="2"/>
  <c r="HD63" i="2" s="1"/>
  <c r="BN63" i="2" s="1"/>
  <c r="AX30" i="1"/>
  <c r="DD30" i="1"/>
  <c r="FC25" i="2"/>
  <c r="FD25" i="2" s="1"/>
  <c r="HB25" i="1"/>
  <c r="HC25" i="1" s="1"/>
  <c r="HD39" i="1"/>
  <c r="BN39" i="1" s="1"/>
  <c r="HB14" i="2"/>
  <c r="DR48" i="2"/>
  <c r="GH22" i="1"/>
  <c r="GL22" i="1" s="1"/>
  <c r="GP22" i="1" s="1"/>
  <c r="GS22" i="1" s="1"/>
  <c r="E22" i="1"/>
  <c r="C22" i="1" s="1"/>
  <c r="D22" i="1"/>
  <c r="AK22" i="1" s="1"/>
  <c r="DG17" i="1"/>
  <c r="DH17" i="1" s="1"/>
  <c r="W17" i="1" s="1"/>
  <c r="DK17" i="1"/>
  <c r="AY17" i="1" s="1"/>
  <c r="U17" i="1" s="1"/>
  <c r="HD26" i="1"/>
  <c r="BN26" i="1" s="1"/>
  <c r="HE63" i="2"/>
  <c r="DJ40" i="2"/>
  <c r="DF40" i="2"/>
  <c r="HF21" i="1"/>
  <c r="HH21" i="1" s="1"/>
  <c r="BO21" i="1" s="1"/>
  <c r="HI21" i="1"/>
  <c r="BP21" i="1"/>
  <c r="HG21" i="1"/>
  <c r="HJ21" i="1"/>
  <c r="DJ13" i="1"/>
  <c r="DF13" i="1"/>
  <c r="DF44" i="2"/>
  <c r="DJ44" i="2"/>
  <c r="DJ42" i="2"/>
  <c r="DF42" i="2"/>
  <c r="HB9" i="1"/>
  <c r="HE9" i="1" s="1"/>
  <c r="HC9" i="1"/>
  <c r="HI31" i="1"/>
  <c r="BP31" i="1"/>
  <c r="HF31" i="1"/>
  <c r="HG31" i="1"/>
  <c r="HJ31" i="1"/>
  <c r="DT73" i="2"/>
  <c r="DR73" i="2"/>
  <c r="HC50" i="2"/>
  <c r="HD50" i="2"/>
  <c r="BN50" i="2" s="1"/>
  <c r="DJ43" i="2"/>
  <c r="DF43" i="2"/>
  <c r="HD47" i="2"/>
  <c r="BN47" i="2" s="1"/>
  <c r="HC42" i="2"/>
  <c r="DF71" i="2"/>
  <c r="DJ71" i="2"/>
  <c r="AX11" i="1"/>
  <c r="DD11" i="1"/>
  <c r="AX14" i="1"/>
  <c r="DD14" i="1"/>
  <c r="HB19" i="1"/>
  <c r="HE19" i="1" s="1"/>
  <c r="HI30" i="1"/>
  <c r="BP30" i="1"/>
  <c r="HF30" i="1"/>
  <c r="HH30" i="1" s="1"/>
  <c r="BO30" i="1" s="1"/>
  <c r="HG30" i="1"/>
  <c r="HJ30" i="1"/>
  <c r="DK49" i="2"/>
  <c r="DG49" i="2"/>
  <c r="DH49" i="2" s="1"/>
  <c r="DJ60" i="2"/>
  <c r="DF60" i="2"/>
  <c r="BP19" i="2"/>
  <c r="HI19" i="2"/>
  <c r="HF19" i="2"/>
  <c r="HJ19" i="2"/>
  <c r="HG19" i="2"/>
  <c r="HD8" i="2"/>
  <c r="BN8" i="2" s="1"/>
  <c r="FC38" i="2"/>
  <c r="FD38" i="2" s="1"/>
  <c r="DR15" i="2"/>
  <c r="DT15" i="2"/>
  <c r="HE48" i="2"/>
  <c r="FC63" i="2"/>
  <c r="FD63" i="2" s="1"/>
  <c r="FC68" i="2"/>
  <c r="FD68" i="2" s="1"/>
  <c r="FC24" i="1"/>
  <c r="FD24" i="1" s="1"/>
  <c r="FC19" i="2"/>
  <c r="FD19" i="2" s="1"/>
  <c r="DJ10" i="2"/>
  <c r="DF10" i="2"/>
  <c r="AX27" i="1"/>
  <c r="DD27" i="1"/>
  <c r="DJ11" i="2"/>
  <c r="DF11" i="2"/>
  <c r="DJ34" i="1"/>
  <c r="DF34" i="1"/>
  <c r="DK8" i="1"/>
  <c r="AY8" i="1" s="1"/>
  <c r="U8" i="1" s="1"/>
  <c r="DG8" i="1"/>
  <c r="DH8" i="1" s="1"/>
  <c r="W8" i="1" s="1"/>
  <c r="HF53" i="2"/>
  <c r="HG53" i="2"/>
  <c r="HJ53" i="2"/>
  <c r="HI53" i="2"/>
  <c r="BP53" i="2"/>
  <c r="HI41" i="2"/>
  <c r="BP41" i="2"/>
  <c r="HF41" i="2"/>
  <c r="HH41" i="2" s="1"/>
  <c r="HG41" i="2"/>
  <c r="HJ41" i="2"/>
  <c r="DT12" i="1"/>
  <c r="DU12" i="1" s="1"/>
  <c r="DR12" i="1"/>
  <c r="DS12" i="1" s="1"/>
  <c r="HI14" i="1"/>
  <c r="BP14" i="1"/>
  <c r="HF14" i="1"/>
  <c r="HH14" i="1" s="1"/>
  <c r="BO14" i="1" s="1"/>
  <c r="HG14" i="1"/>
  <c r="HJ14" i="1"/>
  <c r="FC39" i="1"/>
  <c r="FD39" i="1" s="1"/>
  <c r="HD70" i="2"/>
  <c r="BN70" i="2" s="1"/>
  <c r="HD79" i="2"/>
  <c r="BN79" i="2" s="1"/>
  <c r="DJ31" i="1"/>
  <c r="DF31" i="1"/>
  <c r="DJ21" i="1"/>
  <c r="DF21" i="1"/>
  <c r="HD19" i="2"/>
  <c r="BN19" i="2" s="1"/>
  <c r="HI55" i="2"/>
  <c r="BP55" i="2"/>
  <c r="HF55" i="2"/>
  <c r="HJ55" i="2"/>
  <c r="HG55" i="2"/>
  <c r="DJ48" i="2"/>
  <c r="DF48" i="2"/>
  <c r="HB56" i="2"/>
  <c r="HE56" i="2" s="1"/>
  <c r="HC56" i="2"/>
  <c r="DJ64" i="2"/>
  <c r="DF64" i="2"/>
  <c r="HD21" i="1"/>
  <c r="BN21" i="1" s="1"/>
  <c r="DJ24" i="1"/>
  <c r="DF24" i="1"/>
  <c r="HG20" i="2"/>
  <c r="BP20" i="2"/>
  <c r="HI20" i="2"/>
  <c r="HJ20" i="2"/>
  <c r="HF20" i="2"/>
  <c r="HH20" i="2" s="1"/>
  <c r="HB21" i="2"/>
  <c r="HE21" i="2" s="1"/>
  <c r="DJ35" i="2"/>
  <c r="DF35" i="2"/>
  <c r="DR19" i="2"/>
  <c r="DT19" i="2"/>
  <c r="FC22" i="2"/>
  <c r="FD22" i="2" s="1"/>
  <c r="DT18" i="2"/>
  <c r="DR18" i="2"/>
  <c r="AX10" i="1"/>
  <c r="DD10" i="1"/>
  <c r="FC19" i="1"/>
  <c r="FD19" i="1" s="1"/>
  <c r="FC46" i="2"/>
  <c r="FD46" i="2" s="1"/>
  <c r="DR55" i="2"/>
  <c r="DT55" i="2"/>
  <c r="HI12" i="1"/>
  <c r="BP12" i="1"/>
  <c r="HF12" i="1"/>
  <c r="HG12" i="1"/>
  <c r="HJ12" i="1"/>
  <c r="DT61" i="2"/>
  <c r="DR61" i="2"/>
  <c r="DJ14" i="2"/>
  <c r="DF14" i="2"/>
  <c r="FC36" i="2"/>
  <c r="FD36" i="2" s="1"/>
  <c r="DK50" i="2"/>
  <c r="DG50" i="2"/>
  <c r="DH50" i="2" s="1"/>
  <c r="AX33" i="1"/>
  <c r="DD33" i="1"/>
  <c r="HC35" i="2"/>
  <c r="BP35" i="2" s="1"/>
  <c r="DK28" i="2"/>
  <c r="DG28" i="2"/>
  <c r="DH28" i="2" s="1"/>
  <c r="FC12" i="1"/>
  <c r="FD12" i="1" s="1"/>
  <c r="DJ18" i="1"/>
  <c r="DF18" i="1"/>
  <c r="DJ25" i="1"/>
  <c r="DF25" i="1"/>
  <c r="HC29" i="2"/>
  <c r="HB29" i="2"/>
  <c r="HE29" i="2" s="1"/>
  <c r="HD13" i="2"/>
  <c r="BN13" i="2" s="1"/>
  <c r="DK30" i="2"/>
  <c r="DG30" i="2"/>
  <c r="DH30" i="2" s="1"/>
  <c r="HI65" i="2"/>
  <c r="BP65" i="2"/>
  <c r="HF65" i="2"/>
  <c r="HG65" i="2"/>
  <c r="HJ65" i="2"/>
  <c r="DJ56" i="2"/>
  <c r="DF56" i="2"/>
  <c r="FC78" i="2"/>
  <c r="FD78" i="2" s="1"/>
  <c r="DT28" i="1"/>
  <c r="DU28" i="1" s="1"/>
  <c r="DR28" i="1"/>
  <c r="DS28" i="1" s="1"/>
  <c r="FC25" i="1"/>
  <c r="FD25" i="1" s="1"/>
  <c r="DT32" i="1"/>
  <c r="DU32" i="1" s="1"/>
  <c r="DR32" i="1"/>
  <c r="DS32" i="1" s="1"/>
  <c r="DT53" i="2"/>
  <c r="DR53" i="2"/>
  <c r="FC60" i="2"/>
  <c r="FD60" i="2" s="1"/>
  <c r="DT67" i="2"/>
  <c r="DR67" i="2"/>
  <c r="HB13" i="1"/>
  <c r="HE13" i="1" s="1"/>
  <c r="DJ16" i="1"/>
  <c r="DF16" i="1"/>
  <c r="HE27" i="1"/>
  <c r="BP10" i="2"/>
  <c r="HI10" i="2"/>
  <c r="HF10" i="2"/>
  <c r="HJ10" i="2"/>
  <c r="HG10" i="2"/>
  <c r="DG40" i="1"/>
  <c r="DH40" i="1" s="1"/>
  <c r="W40" i="1" s="1"/>
  <c r="DK40" i="1"/>
  <c r="AY40" i="1" s="1"/>
  <c r="U40" i="1" s="1"/>
  <c r="HD35" i="2"/>
  <c r="BN35" i="2" s="1"/>
  <c r="DT38" i="1"/>
  <c r="DU38" i="1" s="1"/>
  <c r="DR38" i="1"/>
  <c r="DS38" i="1" s="1"/>
  <c r="DK29" i="2"/>
  <c r="DG29" i="2"/>
  <c r="DH29" i="2" s="1"/>
  <c r="DT57" i="2"/>
  <c r="DR57" i="2"/>
  <c r="HI38" i="1"/>
  <c r="BP38" i="1"/>
  <c r="HF38" i="1"/>
  <c r="HH38" i="1" s="1"/>
  <c r="HG38" i="1"/>
  <c r="HJ38" i="1"/>
  <c r="HB16" i="2"/>
  <c r="HE16" i="2" s="1"/>
  <c r="DK33" i="2"/>
  <c r="DG33" i="2"/>
  <c r="DH33" i="2" s="1"/>
  <c r="DJ17" i="2"/>
  <c r="DF17" i="2"/>
  <c r="DJ72" i="2"/>
  <c r="DF72" i="2"/>
  <c r="FC61" i="2"/>
  <c r="FD61" i="2" s="1"/>
  <c r="FC15" i="2"/>
  <c r="FD15" i="2" s="1"/>
  <c r="FC69" i="2"/>
  <c r="FD69" i="2" s="1"/>
  <c r="DT19" i="1"/>
  <c r="DU19" i="1" s="1"/>
  <c r="DR19" i="1"/>
  <c r="DS19" i="1" s="1"/>
  <c r="DG30" i="1"/>
  <c r="DH30" i="1" s="1"/>
  <c r="W30" i="1" s="1"/>
  <c r="DK30" i="1"/>
  <c r="AY30" i="1" s="1"/>
  <c r="U30" i="1" s="1"/>
  <c r="HD25" i="1"/>
  <c r="BN25" i="1" s="1"/>
  <c r="FC26" i="2"/>
  <c r="FD26" i="2" s="1"/>
  <c r="HB26" i="2"/>
  <c r="HC26" i="2" s="1"/>
  <c r="DF57" i="2"/>
  <c r="HB67" i="2"/>
  <c r="HE67" i="2" s="1"/>
  <c r="HB72" i="2"/>
  <c r="HE72" i="2" s="1"/>
  <c r="HC72" i="2"/>
  <c r="AX36" i="1"/>
  <c r="DD36" i="1"/>
  <c r="HB73" i="2"/>
  <c r="HE73" i="2" s="1"/>
  <c r="HC73" i="2"/>
  <c r="HF74" i="2"/>
  <c r="HH74" i="2" s="1"/>
  <c r="HG74" i="2"/>
  <c r="HJ74" i="2"/>
  <c r="HI74" i="2"/>
  <c r="BP74" i="2"/>
  <c r="DJ47" i="2"/>
  <c r="DF47" i="2"/>
  <c r="DG74" i="2"/>
  <c r="DH74" i="2" s="1"/>
  <c r="DK74" i="2"/>
  <c r="HE34" i="2"/>
  <c r="HI18" i="1"/>
  <c r="BP18" i="1"/>
  <c r="HF18" i="1"/>
  <c r="HJ18" i="1"/>
  <c r="HG18" i="1"/>
  <c r="DT69" i="2"/>
  <c r="DR69" i="2"/>
  <c r="DR23" i="2"/>
  <c r="DT23" i="2"/>
  <c r="HD67" i="2"/>
  <c r="BN67" i="2" s="1"/>
  <c r="DK79" i="2"/>
  <c r="DG79" i="2"/>
  <c r="DH79" i="2" s="1"/>
  <c r="DD17" i="1"/>
  <c r="AX17" i="1"/>
  <c r="DT43" i="2"/>
  <c r="DR43" i="2"/>
  <c r="HI59" i="2"/>
  <c r="BP59" i="2"/>
  <c r="HF59" i="2"/>
  <c r="HJ59" i="2"/>
  <c r="HG59" i="2"/>
  <c r="DR71" i="2"/>
  <c r="DT71" i="2"/>
  <c r="DG11" i="1"/>
  <c r="DH11" i="1" s="1"/>
  <c r="W11" i="1" s="1"/>
  <c r="DK11" i="1"/>
  <c r="AY11" i="1" s="1"/>
  <c r="U11" i="1" s="1"/>
  <c r="DG14" i="1"/>
  <c r="DH14" i="1" s="1"/>
  <c r="W14" i="1" s="1"/>
  <c r="DK14" i="1"/>
  <c r="AY14" i="1" s="1"/>
  <c r="U14" i="1" s="1"/>
  <c r="HD9" i="2"/>
  <c r="BN9" i="2" s="1"/>
  <c r="DK32" i="2"/>
  <c r="DG32" i="2"/>
  <c r="DH32" i="2" s="1"/>
  <c r="HC46" i="2"/>
  <c r="BP46" i="2" s="1"/>
  <c r="HD73" i="2"/>
  <c r="BN73" i="2" s="1"/>
  <c r="HE23" i="1"/>
  <c r="HD57" i="2"/>
  <c r="BN57" i="2" s="1"/>
  <c r="HI66" i="2"/>
  <c r="BP66" i="2"/>
  <c r="HG66" i="2"/>
  <c r="HF66" i="2"/>
  <c r="HJ66" i="2"/>
  <c r="DT60" i="2"/>
  <c r="DR60" i="2"/>
  <c r="DT9" i="1"/>
  <c r="DU9" i="1" s="1"/>
  <c r="DR9" i="1"/>
  <c r="DS9" i="1" s="1"/>
  <c r="HB35" i="1"/>
  <c r="HE35" i="1" s="1"/>
  <c r="FC37" i="2"/>
  <c r="FD37" i="2" s="1"/>
  <c r="DT40" i="2"/>
  <c r="DR40" i="2"/>
  <c r="DJ15" i="2"/>
  <c r="DF15" i="2"/>
  <c r="DJ77" i="2"/>
  <c r="DF77" i="2"/>
  <c r="DR47" i="2"/>
  <c r="DT47" i="2"/>
  <c r="HB44" i="2"/>
  <c r="HE44" i="2" s="1"/>
  <c r="HC44" i="2"/>
  <c r="DK58" i="2"/>
  <c r="DG58" i="2"/>
  <c r="DH58" i="2" s="1"/>
  <c r="DK65" i="2"/>
  <c r="DG65" i="2"/>
  <c r="DH65" i="2" s="1"/>
  <c r="HC29" i="1"/>
  <c r="DG27" i="1"/>
  <c r="DH27" i="1" s="1"/>
  <c r="W27" i="1" s="1"/>
  <c r="DK27" i="1"/>
  <c r="AY27" i="1" s="1"/>
  <c r="U27" i="1" s="1"/>
  <c r="HC22" i="1"/>
  <c r="HB22" i="1"/>
  <c r="HD22" i="1" s="1"/>
  <c r="BN22" i="1" s="1"/>
  <c r="HA2" i="1"/>
  <c r="HE8" i="1"/>
  <c r="HB22" i="2"/>
  <c r="HC22" i="2" s="1"/>
  <c r="HB37" i="2"/>
  <c r="HE37" i="2" s="1"/>
  <c r="FC27" i="2"/>
  <c r="FD27" i="2" s="1"/>
  <c r="DK34" i="2"/>
  <c r="DG34" i="2"/>
  <c r="DH34" i="2" s="1"/>
  <c r="HF49" i="2"/>
  <c r="HG49" i="2"/>
  <c r="HJ49" i="2"/>
  <c r="HI49" i="2"/>
  <c r="BP49" i="2"/>
  <c r="DF69" i="2"/>
  <c r="DJ69" i="2"/>
  <c r="DT13" i="1"/>
  <c r="DU13" i="1" s="1"/>
  <c r="DR13" i="1"/>
  <c r="DS13" i="1" s="1"/>
  <c r="HB40" i="2"/>
  <c r="HC40" i="2" s="1"/>
  <c r="DJ21" i="2"/>
  <c r="DF21" i="2"/>
  <c r="HE50" i="2"/>
  <c r="FC71" i="2"/>
  <c r="FD71" i="2" s="1"/>
  <c r="DJ12" i="1"/>
  <c r="DF12" i="1"/>
  <c r="DF23" i="2"/>
  <c r="DJ23" i="2"/>
  <c r="HF11" i="1"/>
  <c r="HG11" i="1"/>
  <c r="HJ11" i="1"/>
  <c r="HI11" i="1"/>
  <c r="BP11" i="1"/>
  <c r="DJ63" i="2"/>
  <c r="DF63" i="2"/>
  <c r="DJ73" i="2"/>
  <c r="DF73" i="2"/>
  <c r="AX20" i="1"/>
  <c r="DD20" i="1"/>
  <c r="BP27" i="2"/>
  <c r="HI27" i="2"/>
  <c r="HF27" i="2"/>
  <c r="HH27" i="2" s="1"/>
  <c r="HJ27" i="2"/>
  <c r="HG27" i="2"/>
  <c r="HD60" i="2"/>
  <c r="BN60" i="2" s="1"/>
  <c r="DT64" i="2"/>
  <c r="DR64" i="2"/>
  <c r="HI71" i="2"/>
  <c r="BP71" i="2"/>
  <c r="HF71" i="2"/>
  <c r="HJ71" i="2"/>
  <c r="HG71" i="2"/>
  <c r="HB32" i="1"/>
  <c r="HE32" i="1" s="1"/>
  <c r="HC32" i="1"/>
  <c r="HD21" i="2"/>
  <c r="BN21" i="2" s="1"/>
  <c r="DJ19" i="2"/>
  <c r="DF19" i="2"/>
  <c r="DT8" i="2"/>
  <c r="DR8" i="2"/>
  <c r="DR29" i="1"/>
  <c r="DS29" i="1" s="1"/>
  <c r="DT29" i="1"/>
  <c r="DU29" i="1" s="1"/>
  <c r="FC38" i="1"/>
  <c r="FD38" i="1" s="1"/>
  <c r="FC29" i="1"/>
  <c r="FD29" i="1" s="1"/>
  <c r="HB30" i="2"/>
  <c r="HE30" i="2" s="1"/>
  <c r="HC30" i="2"/>
  <c r="FC21" i="2"/>
  <c r="FD21" i="2" s="1"/>
  <c r="DR27" i="2"/>
  <c r="DT27" i="2"/>
  <c r="DR26" i="2"/>
  <c r="DT26" i="2"/>
  <c r="DJ18" i="2"/>
  <c r="DF18" i="2"/>
  <c r="DG10" i="1"/>
  <c r="DH10" i="1" s="1"/>
  <c r="W10" i="1" s="1"/>
  <c r="DK10" i="1"/>
  <c r="AY10" i="1" s="1"/>
  <c r="U10" i="1" s="1"/>
  <c r="DJ55" i="2"/>
  <c r="DF55" i="2"/>
  <c r="FC72" i="2"/>
  <c r="FD72" i="2" s="1"/>
  <c r="HD38" i="2"/>
  <c r="BN38" i="2" s="1"/>
  <c r="HD36" i="1"/>
  <c r="BN36" i="1" s="1"/>
  <c r="DK54" i="2"/>
  <c r="DG54" i="2"/>
  <c r="DH54" i="2" s="1"/>
  <c r="HB16" i="1"/>
  <c r="HE16" i="1" s="1"/>
  <c r="DK33" i="1"/>
  <c r="AY33" i="1" s="1"/>
  <c r="U33" i="1" s="1"/>
  <c r="DG33" i="1"/>
  <c r="DH33" i="1" s="1"/>
  <c r="W33" i="1" s="1"/>
  <c r="HD40" i="1"/>
  <c r="BN40" i="1" s="1"/>
  <c r="HD10" i="1"/>
  <c r="BN10" i="1" s="1"/>
  <c r="FC43" i="2"/>
  <c r="FD43" i="2" s="1"/>
  <c r="DK66" i="2"/>
  <c r="DG66" i="2"/>
  <c r="DH66" i="2" s="1"/>
  <c r="HE10" i="1"/>
  <c r="HD20" i="1"/>
  <c r="BN20" i="1" s="1"/>
  <c r="HD29" i="2"/>
  <c r="BN29" i="2" s="1"/>
  <c r="HC17" i="2"/>
  <c r="HB17" i="2"/>
  <c r="HE17" i="2" s="1"/>
  <c r="DK51" i="2"/>
  <c r="DG51" i="2"/>
  <c r="DH51" i="2" s="1"/>
  <c r="FC48" i="2"/>
  <c r="FD48" i="2" s="1"/>
  <c r="DT56" i="2"/>
  <c r="DR56" i="2"/>
  <c r="DJ78" i="2"/>
  <c r="DF78" i="2"/>
  <c r="HE20" i="1"/>
  <c r="DJ28" i="1"/>
  <c r="DF28" i="1"/>
  <c r="HC24" i="1"/>
  <c r="BP24" i="1" s="1"/>
  <c r="DJ32" i="1"/>
  <c r="DF32" i="1"/>
  <c r="DR35" i="1"/>
  <c r="DS35" i="1" s="1"/>
  <c r="DT35" i="1"/>
  <c r="DU35" i="1" s="1"/>
  <c r="FC39" i="2"/>
  <c r="FD39" i="2" s="1"/>
  <c r="DT37" i="2"/>
  <c r="DR37" i="2"/>
  <c r="DT36" i="2"/>
  <c r="DR36" i="2"/>
  <c r="DT12" i="2"/>
  <c r="DR12" i="2"/>
  <c r="FC9" i="1"/>
  <c r="FD9" i="1" s="1"/>
  <c r="DD26" i="1"/>
  <c r="AX26" i="1"/>
  <c r="DG31" i="2"/>
  <c r="DH31" i="2" s="1"/>
  <c r="DK31" i="2"/>
  <c r="DJ38" i="1"/>
  <c r="DF38" i="1"/>
  <c r="DR39" i="1"/>
  <c r="DS39" i="1" s="1"/>
  <c r="DT39" i="1"/>
  <c r="DU39" i="1" s="1"/>
  <c r="DR9" i="2"/>
  <c r="DT9" i="2"/>
  <c r="HD27" i="1"/>
  <c r="BN27" i="1" s="1"/>
  <c r="HD48" i="2"/>
  <c r="BN48" i="2" s="1"/>
  <c r="HI54" i="2"/>
  <c r="BP54" i="2"/>
  <c r="HF54" i="2"/>
  <c r="HG54" i="2"/>
  <c r="HJ54" i="2"/>
  <c r="BP39" i="2"/>
  <c r="HF39" i="2"/>
  <c r="HJ39" i="2"/>
  <c r="HG39" i="2"/>
  <c r="HI39" i="2"/>
  <c r="HB52" i="2"/>
  <c r="HE52" i="2" s="1"/>
  <c r="DT25" i="2"/>
  <c r="DR25" i="2"/>
  <c r="FC56" i="2"/>
  <c r="FD56" i="2" s="1"/>
  <c r="DJ19" i="1"/>
  <c r="DF19" i="1"/>
  <c r="HD24" i="2"/>
  <c r="BN24" i="2" s="1"/>
  <c r="HB32" i="2"/>
  <c r="HE32" i="2" s="1"/>
  <c r="HC34" i="1"/>
  <c r="BP34" i="1" s="1"/>
  <c r="HB64" i="2"/>
  <c r="HE64" i="2" s="1"/>
  <c r="HI30" i="2" l="1"/>
  <c r="HG30" i="2"/>
  <c r="HF30" i="2"/>
  <c r="HJ30" i="2"/>
  <c r="BP30" i="2"/>
  <c r="HG73" i="2"/>
  <c r="HJ73" i="2"/>
  <c r="HF73" i="2"/>
  <c r="HH73" i="2" s="1"/>
  <c r="BO73" i="2" s="1"/>
  <c r="HI73" i="2"/>
  <c r="BP73" i="2"/>
  <c r="HI72" i="2"/>
  <c r="BP72" i="2"/>
  <c r="HJ72" i="2"/>
  <c r="HF72" i="2"/>
  <c r="HH72" i="2" s="1"/>
  <c r="BO72" i="2" s="1"/>
  <c r="HG72" i="2"/>
  <c r="HF29" i="2"/>
  <c r="HH29" i="2" s="1"/>
  <c r="HJ29" i="2"/>
  <c r="BP29" i="2"/>
  <c r="HG29" i="2"/>
  <c r="HI29" i="2"/>
  <c r="HI47" i="2"/>
  <c r="BP47" i="2"/>
  <c r="HJ47" i="2"/>
  <c r="HF47" i="2"/>
  <c r="HH47" i="2" s="1"/>
  <c r="BO47" i="2" s="1"/>
  <c r="HG47" i="2"/>
  <c r="HF64" i="2"/>
  <c r="HH64" i="2" s="1"/>
  <c r="HG64" i="2"/>
  <c r="HJ64" i="2"/>
  <c r="HI64" i="2"/>
  <c r="HF37" i="2"/>
  <c r="HJ37" i="2"/>
  <c r="HG37" i="2"/>
  <c r="HI37" i="2"/>
  <c r="HI35" i="1"/>
  <c r="HF35" i="1"/>
  <c r="HH35" i="1" s="1"/>
  <c r="HG35" i="1"/>
  <c r="HJ35" i="1"/>
  <c r="HG67" i="2"/>
  <c r="HJ67" i="2"/>
  <c r="HI67" i="2"/>
  <c r="HF67" i="2"/>
  <c r="HH67" i="2" s="1"/>
  <c r="HF21" i="2"/>
  <c r="HJ21" i="2"/>
  <c r="HG21" i="2"/>
  <c r="HI21" i="2"/>
  <c r="HD14" i="2"/>
  <c r="BN14" i="2" s="1"/>
  <c r="HC14" i="2"/>
  <c r="HI39" i="1"/>
  <c r="BP39" i="1"/>
  <c r="HF39" i="1"/>
  <c r="HG39" i="1"/>
  <c r="HJ39" i="1"/>
  <c r="DK67" i="2"/>
  <c r="DG67" i="2"/>
  <c r="DH67" i="2" s="1"/>
  <c r="DK53" i="2"/>
  <c r="DG53" i="2"/>
  <c r="DH53" i="2" s="1"/>
  <c r="E37" i="1"/>
  <c r="C37" i="1" s="1"/>
  <c r="GH37" i="1"/>
  <c r="GL37" i="1" s="1"/>
  <c r="GP37" i="1" s="1"/>
  <c r="GS37" i="1" s="1"/>
  <c r="D37" i="1"/>
  <c r="AK37" i="1" s="1"/>
  <c r="HG11" i="2"/>
  <c r="HI11" i="2"/>
  <c r="HJ11" i="2"/>
  <c r="HF11" i="2"/>
  <c r="HH11" i="2" s="1"/>
  <c r="DG24" i="2"/>
  <c r="DH24" i="2" s="1"/>
  <c r="DK24" i="2"/>
  <c r="HI18" i="2"/>
  <c r="HF18" i="2"/>
  <c r="HJ18" i="2"/>
  <c r="HG18" i="2"/>
  <c r="BP18" i="2"/>
  <c r="HE22" i="2"/>
  <c r="HG69" i="2"/>
  <c r="HJ69" i="2"/>
  <c r="HF69" i="2"/>
  <c r="BP69" i="2"/>
  <c r="HI69" i="2"/>
  <c r="DK15" i="1"/>
  <c r="AY15" i="1" s="1"/>
  <c r="U15" i="1" s="1"/>
  <c r="DG15" i="1"/>
  <c r="DH15" i="1" s="1"/>
  <c r="W15" i="1" s="1"/>
  <c r="BO46" i="2"/>
  <c r="HI9" i="2"/>
  <c r="HF9" i="2"/>
  <c r="HJ9" i="2"/>
  <c r="HG9" i="2"/>
  <c r="HG24" i="2"/>
  <c r="HI24" i="2"/>
  <c r="HF24" i="2"/>
  <c r="HH24" i="2" s="1"/>
  <c r="HJ24" i="2"/>
  <c r="HF25" i="1"/>
  <c r="HH25" i="1" s="1"/>
  <c r="HI25" i="1"/>
  <c r="BP25" i="1"/>
  <c r="HG25" i="1"/>
  <c r="HJ25" i="1"/>
  <c r="DK36" i="2"/>
  <c r="DG36" i="2"/>
  <c r="DH36" i="2" s="1"/>
  <c r="DG35" i="1"/>
  <c r="DH35" i="1" s="1"/>
  <c r="W35" i="1" s="1"/>
  <c r="DK35" i="1"/>
  <c r="AY35" i="1" s="1"/>
  <c r="U35" i="1" s="1"/>
  <c r="BO24" i="1"/>
  <c r="HG40" i="1"/>
  <c r="HJ40" i="1"/>
  <c r="HI40" i="1"/>
  <c r="HF40" i="1"/>
  <c r="HH40" i="1" s="1"/>
  <c r="HI76" i="2"/>
  <c r="HF76" i="2"/>
  <c r="HG76" i="2"/>
  <c r="HJ76" i="2"/>
  <c r="HG42" i="2"/>
  <c r="HJ42" i="2"/>
  <c r="HI42" i="2"/>
  <c r="BP42" i="2"/>
  <c r="HF42" i="2"/>
  <c r="HH42" i="2" s="1"/>
  <c r="DG26" i="2"/>
  <c r="DH26" i="2" s="1"/>
  <c r="DK26" i="2"/>
  <c r="DG29" i="1"/>
  <c r="DH29" i="1" s="1"/>
  <c r="W29" i="1" s="1"/>
  <c r="DK29" i="1"/>
  <c r="AY29" i="1" s="1"/>
  <c r="U29" i="1" s="1"/>
  <c r="HF17" i="1"/>
  <c r="HG17" i="1"/>
  <c r="HJ17" i="1"/>
  <c r="HI17" i="1"/>
  <c r="BP17" i="1"/>
  <c r="HF45" i="2"/>
  <c r="HH45" i="2" s="1"/>
  <c r="HJ45" i="2"/>
  <c r="BP45" i="2"/>
  <c r="HG45" i="2"/>
  <c r="HI45" i="2"/>
  <c r="HG28" i="2"/>
  <c r="BP28" i="2"/>
  <c r="HI28" i="2"/>
  <c r="HF28" i="2"/>
  <c r="HJ28" i="2"/>
  <c r="DK61" i="2"/>
  <c r="DG61" i="2"/>
  <c r="DH61" i="2" s="1"/>
  <c r="HI79" i="2"/>
  <c r="BP79" i="2"/>
  <c r="HF79" i="2"/>
  <c r="HG79" i="2"/>
  <c r="HJ79" i="2"/>
  <c r="DG22" i="2"/>
  <c r="DH22" i="2" s="1"/>
  <c r="DK22" i="2"/>
  <c r="HE22" i="1"/>
  <c r="HG36" i="2"/>
  <c r="HI36" i="2"/>
  <c r="HJ36" i="2"/>
  <c r="BP36" i="2"/>
  <c r="HF36" i="2"/>
  <c r="HH36" i="2" s="1"/>
  <c r="BN8" i="1"/>
  <c r="HD2" i="1"/>
  <c r="HF57" i="2"/>
  <c r="HH57" i="2" s="1"/>
  <c r="HG57" i="2"/>
  <c r="HJ57" i="2"/>
  <c r="BP57" i="2"/>
  <c r="HI57" i="2"/>
  <c r="GH36" i="1"/>
  <c r="GL36" i="1" s="1"/>
  <c r="GP36" i="1" s="1"/>
  <c r="GS36" i="1" s="1"/>
  <c r="E36" i="1"/>
  <c r="C36" i="1" s="1"/>
  <c r="D36" i="1"/>
  <c r="AK36" i="1" s="1"/>
  <c r="HI26" i="1"/>
  <c r="HG26" i="1"/>
  <c r="HJ26" i="1"/>
  <c r="HF26" i="1"/>
  <c r="HD72" i="2"/>
  <c r="BN72" i="2" s="1"/>
  <c r="DG9" i="2"/>
  <c r="DH9" i="2" s="1"/>
  <c r="DK9" i="2"/>
  <c r="HE14" i="2"/>
  <c r="HF33" i="2"/>
  <c r="HJ33" i="2"/>
  <c r="HG33" i="2"/>
  <c r="HI33" i="2"/>
  <c r="DK37" i="2"/>
  <c r="DG37" i="2"/>
  <c r="DH37" i="2" s="1"/>
  <c r="HD17" i="2"/>
  <c r="BN17" i="2" s="1"/>
  <c r="HD28" i="2"/>
  <c r="BN28" i="2" s="1"/>
  <c r="HG36" i="1"/>
  <c r="HJ36" i="1"/>
  <c r="HI36" i="1"/>
  <c r="BP36" i="1"/>
  <c r="HF36" i="1"/>
  <c r="HH36" i="1" s="1"/>
  <c r="HE13" i="2"/>
  <c r="BP31" i="2"/>
  <c r="HF31" i="2"/>
  <c r="HJ31" i="2"/>
  <c r="HG31" i="2"/>
  <c r="HI31" i="2"/>
  <c r="HG60" i="2"/>
  <c r="HJ60" i="2"/>
  <c r="BP60" i="2"/>
  <c r="HF60" i="2"/>
  <c r="HI60" i="2"/>
  <c r="HD37" i="2"/>
  <c r="BN37" i="2" s="1"/>
  <c r="HG32" i="2"/>
  <c r="HI32" i="2"/>
  <c r="HJ32" i="2"/>
  <c r="HF32" i="2"/>
  <c r="HH32" i="2" s="1"/>
  <c r="HG52" i="2"/>
  <c r="HJ52" i="2"/>
  <c r="HI52" i="2"/>
  <c r="HF52" i="2"/>
  <c r="HH52" i="2" s="1"/>
  <c r="HG16" i="1"/>
  <c r="HJ16" i="1"/>
  <c r="HF16" i="1"/>
  <c r="HI16" i="1"/>
  <c r="HG16" i="2"/>
  <c r="HI16" i="2"/>
  <c r="HF16" i="2"/>
  <c r="HH16" i="2" s="1"/>
  <c r="HJ16" i="2"/>
  <c r="DD24" i="1"/>
  <c r="AX24" i="1"/>
  <c r="DG48" i="2"/>
  <c r="DH48" i="2" s="1"/>
  <c r="DK48" i="2"/>
  <c r="DG21" i="1"/>
  <c r="DH21" i="1" s="1"/>
  <c r="W21" i="1" s="1"/>
  <c r="DK21" i="1"/>
  <c r="AY21" i="1" s="1"/>
  <c r="U21" i="1" s="1"/>
  <c r="DG11" i="2"/>
  <c r="DH11" i="2" s="1"/>
  <c r="DK11" i="2"/>
  <c r="HI19" i="1"/>
  <c r="HG19" i="1"/>
  <c r="HJ19" i="1"/>
  <c r="HF19" i="1"/>
  <c r="HH19" i="1" s="1"/>
  <c r="DG44" i="2"/>
  <c r="DH44" i="2" s="1"/>
  <c r="DK44" i="2"/>
  <c r="HG63" i="2"/>
  <c r="HJ63" i="2"/>
  <c r="HI63" i="2"/>
  <c r="BP63" i="2"/>
  <c r="HF63" i="2"/>
  <c r="HH63" i="2" s="1"/>
  <c r="HC64" i="2"/>
  <c r="BP64" i="2" s="1"/>
  <c r="HD64" i="2"/>
  <c r="BN64" i="2" s="1"/>
  <c r="DD38" i="1"/>
  <c r="AX38" i="1"/>
  <c r="AX28" i="1"/>
  <c r="DD28" i="1"/>
  <c r="DK78" i="2"/>
  <c r="DG78" i="2"/>
  <c r="DH78" i="2" s="1"/>
  <c r="HE40" i="2"/>
  <c r="BO27" i="2"/>
  <c r="DK63" i="2"/>
  <c r="DG63" i="2"/>
  <c r="DH63" i="2" s="1"/>
  <c r="HH49" i="2"/>
  <c r="BO49" i="2" s="1"/>
  <c r="HE2" i="1"/>
  <c r="HF8" i="1"/>
  <c r="HJ8" i="1"/>
  <c r="HJ2" i="1" s="1"/>
  <c r="HG8" i="1"/>
  <c r="HG2" i="1" s="1"/>
  <c r="BP8" i="1"/>
  <c r="HI8" i="1"/>
  <c r="HI2" i="1" s="1"/>
  <c r="DG77" i="2"/>
  <c r="DH77" i="2" s="1"/>
  <c r="DK77" i="2"/>
  <c r="HD19" i="1"/>
  <c r="BN19" i="1" s="1"/>
  <c r="DG47" i="2"/>
  <c r="DH47" i="2" s="1"/>
  <c r="DK47" i="2"/>
  <c r="HH65" i="2"/>
  <c r="BO65" i="2" s="1"/>
  <c r="DD25" i="1"/>
  <c r="AX25" i="1"/>
  <c r="HH12" i="1"/>
  <c r="BO12" i="1" s="1"/>
  <c r="HC21" i="2"/>
  <c r="BP21" i="2" s="1"/>
  <c r="AX31" i="1"/>
  <c r="DD31" i="1"/>
  <c r="HD40" i="2"/>
  <c r="BN40" i="2" s="1"/>
  <c r="HG48" i="2"/>
  <c r="HJ48" i="2"/>
  <c r="HF48" i="2"/>
  <c r="HH48" i="2" s="1"/>
  <c r="HI48" i="2"/>
  <c r="BP48" i="2"/>
  <c r="DK71" i="2"/>
  <c r="DG71" i="2"/>
  <c r="DH71" i="2" s="1"/>
  <c r="AX19" i="1"/>
  <c r="DD19" i="1"/>
  <c r="HH54" i="2"/>
  <c r="BO54" i="2" s="1"/>
  <c r="DG38" i="1"/>
  <c r="DH38" i="1" s="1"/>
  <c r="W38" i="1" s="1"/>
  <c r="DK38" i="1"/>
  <c r="AY38" i="1" s="1"/>
  <c r="U38" i="1" s="1"/>
  <c r="AX32" i="1"/>
  <c r="DD32" i="1"/>
  <c r="DK28" i="1"/>
  <c r="AY28" i="1" s="1"/>
  <c r="U28" i="1" s="1"/>
  <c r="DG28" i="1"/>
  <c r="DH28" i="1" s="1"/>
  <c r="W28" i="1" s="1"/>
  <c r="E33" i="1"/>
  <c r="C33" i="1" s="1"/>
  <c r="GH33" i="1"/>
  <c r="GL33" i="1" s="1"/>
  <c r="GP33" i="1" s="1"/>
  <c r="GS33" i="1" s="1"/>
  <c r="D33" i="1"/>
  <c r="AK33" i="1" s="1"/>
  <c r="HG32" i="1"/>
  <c r="HJ32" i="1"/>
  <c r="HI32" i="1"/>
  <c r="BP32" i="1"/>
  <c r="HF32" i="1"/>
  <c r="HH32" i="1" s="1"/>
  <c r="HH71" i="2"/>
  <c r="BO71" i="2" s="1"/>
  <c r="HH11" i="1"/>
  <c r="BO11" i="1" s="1"/>
  <c r="DG12" i="1"/>
  <c r="DH12" i="1" s="1"/>
  <c r="W12" i="1" s="1"/>
  <c r="DK12" i="1"/>
  <c r="AY12" i="1" s="1"/>
  <c r="U12" i="1" s="1"/>
  <c r="DK21" i="2"/>
  <c r="DG21" i="2"/>
  <c r="DH21" i="2" s="1"/>
  <c r="HC37" i="2"/>
  <c r="BP37" i="2" s="1"/>
  <c r="HH66" i="2"/>
  <c r="BO66" i="2" s="1"/>
  <c r="GH14" i="1"/>
  <c r="GL14" i="1" s="1"/>
  <c r="GP14" i="1" s="1"/>
  <c r="GS14" i="1" s="1"/>
  <c r="E14" i="1"/>
  <c r="C14" i="1" s="1"/>
  <c r="D14" i="1"/>
  <c r="AK14" i="1" s="1"/>
  <c r="HH59" i="2"/>
  <c r="BO59" i="2" s="1"/>
  <c r="HH18" i="1"/>
  <c r="BO18" i="1" s="1"/>
  <c r="HD35" i="1"/>
  <c r="BN35" i="1" s="1"/>
  <c r="HC67" i="2"/>
  <c r="BP67" i="2" s="1"/>
  <c r="DK72" i="2"/>
  <c r="DG72" i="2"/>
  <c r="DH72" i="2" s="1"/>
  <c r="HF27" i="1"/>
  <c r="HH27" i="1" s="1"/>
  <c r="HG27" i="1"/>
  <c r="HJ27" i="1"/>
  <c r="HI27" i="1"/>
  <c r="BP27" i="1"/>
  <c r="HC13" i="1"/>
  <c r="DK56" i="2"/>
  <c r="DG56" i="2"/>
  <c r="DH56" i="2" s="1"/>
  <c r="DG25" i="1"/>
  <c r="DH25" i="1" s="1"/>
  <c r="W25" i="1" s="1"/>
  <c r="DK25" i="1"/>
  <c r="AY25" i="1" s="1"/>
  <c r="U25" i="1" s="1"/>
  <c r="HD32" i="1"/>
  <c r="BN32" i="1" s="1"/>
  <c r="HG56" i="2"/>
  <c r="HJ56" i="2"/>
  <c r="HI56" i="2"/>
  <c r="BP56" i="2"/>
  <c r="HF56" i="2"/>
  <c r="HH56" i="2" s="1"/>
  <c r="DG31" i="1"/>
  <c r="DH31" i="1" s="1"/>
  <c r="W31" i="1" s="1"/>
  <c r="DK31" i="1"/>
  <c r="AY31" i="1" s="1"/>
  <c r="U31" i="1" s="1"/>
  <c r="HH53" i="2"/>
  <c r="BO53" i="2" s="1"/>
  <c r="HE15" i="1"/>
  <c r="DG34" i="1"/>
  <c r="DH34" i="1" s="1"/>
  <c r="W34" i="1" s="1"/>
  <c r="DK34" i="1"/>
  <c r="AY34" i="1" s="1"/>
  <c r="U34" i="1" s="1"/>
  <c r="DK10" i="2"/>
  <c r="DG10" i="2"/>
  <c r="DH10" i="2" s="1"/>
  <c r="HD15" i="1"/>
  <c r="BN15" i="1" s="1"/>
  <c r="DG43" i="2"/>
  <c r="DH43" i="2" s="1"/>
  <c r="DK43" i="2"/>
  <c r="DD13" i="1"/>
  <c r="AX13" i="1"/>
  <c r="GH17" i="1"/>
  <c r="GL17" i="1" s="1"/>
  <c r="GP17" i="1" s="1"/>
  <c r="GS17" i="1" s="1"/>
  <c r="E17" i="1"/>
  <c r="C17" i="1" s="1"/>
  <c r="D17" i="1"/>
  <c r="AK17" i="1" s="1"/>
  <c r="GV22" i="1"/>
  <c r="GU22" i="1"/>
  <c r="DK38" i="2"/>
  <c r="DG38" i="2"/>
  <c r="DH38" i="2" s="1"/>
  <c r="D27" i="6"/>
  <c r="AB25" i="6"/>
  <c r="I27" i="6" s="1"/>
  <c r="DK76" i="2"/>
  <c r="DG76" i="2"/>
  <c r="DH76" i="2" s="1"/>
  <c r="HG77" i="2"/>
  <c r="HJ77" i="2"/>
  <c r="HI77" i="2"/>
  <c r="BP77" i="2"/>
  <c r="HF77" i="2"/>
  <c r="HH77" i="2" s="1"/>
  <c r="HC12" i="2"/>
  <c r="DK39" i="2"/>
  <c r="DG39" i="2"/>
  <c r="DH39" i="2" s="1"/>
  <c r="HD9" i="1"/>
  <c r="BN9" i="1" s="1"/>
  <c r="HI75" i="2"/>
  <c r="BP75" i="2"/>
  <c r="HF75" i="2"/>
  <c r="HH75" i="2" s="1"/>
  <c r="HJ75" i="2"/>
  <c r="HG75" i="2"/>
  <c r="HC26" i="1"/>
  <c r="BP26" i="1" s="1"/>
  <c r="DD9" i="1"/>
  <c r="AX9" i="1"/>
  <c r="AX39" i="1"/>
  <c r="DD39" i="1"/>
  <c r="DG12" i="2"/>
  <c r="DH12" i="2" s="1"/>
  <c r="DK12" i="2"/>
  <c r="HC33" i="2"/>
  <c r="BP33" i="2" s="1"/>
  <c r="HI38" i="2"/>
  <c r="HG38" i="2"/>
  <c r="HF38" i="2"/>
  <c r="HH38" i="2" s="1"/>
  <c r="HJ38" i="2"/>
  <c r="BP38" i="2"/>
  <c r="HH78" i="2"/>
  <c r="BO78" i="2" s="1"/>
  <c r="HD12" i="2"/>
  <c r="BN12" i="2" s="1"/>
  <c r="DG46" i="2"/>
  <c r="DH46" i="2" s="1"/>
  <c r="DK46" i="2"/>
  <c r="DK27" i="2"/>
  <c r="DG27" i="2"/>
  <c r="DH27" i="2" s="1"/>
  <c r="HE26" i="2"/>
  <c r="DK8" i="2"/>
  <c r="DG8" i="2"/>
  <c r="DH8" i="2" s="1"/>
  <c r="DG68" i="2"/>
  <c r="DH68" i="2" s="1"/>
  <c r="DK68" i="2"/>
  <c r="HH37" i="1"/>
  <c r="BO37" i="1" s="1"/>
  <c r="BO28" i="1"/>
  <c r="GH10" i="1"/>
  <c r="GL10" i="1" s="1"/>
  <c r="GP10" i="1" s="1"/>
  <c r="GS10" i="1" s="1"/>
  <c r="E10" i="1"/>
  <c r="C10" i="1" s="1"/>
  <c r="D10" i="1"/>
  <c r="AK10" i="1" s="1"/>
  <c r="HI50" i="2"/>
  <c r="BP50" i="2"/>
  <c r="HF50" i="2"/>
  <c r="HH50" i="2" s="1"/>
  <c r="HG50" i="2"/>
  <c r="HJ50" i="2"/>
  <c r="GH11" i="1"/>
  <c r="GL11" i="1" s="1"/>
  <c r="GP11" i="1" s="1"/>
  <c r="GS11" i="1" s="1"/>
  <c r="E11" i="1"/>
  <c r="C11" i="1" s="1"/>
  <c r="D11" i="1"/>
  <c r="AK11" i="1" s="1"/>
  <c r="HD32" i="2"/>
  <c r="BN32" i="2" s="1"/>
  <c r="DG17" i="2"/>
  <c r="DH17" i="2" s="1"/>
  <c r="DK17" i="2"/>
  <c r="DK16" i="1"/>
  <c r="AY16" i="1" s="1"/>
  <c r="U16" i="1" s="1"/>
  <c r="DG16" i="1"/>
  <c r="DH16" i="1" s="1"/>
  <c r="W16" i="1" s="1"/>
  <c r="DK18" i="1"/>
  <c r="AY18" i="1" s="1"/>
  <c r="U18" i="1" s="1"/>
  <c r="DG18" i="1"/>
  <c r="DH18" i="1" s="1"/>
  <c r="W18" i="1" s="1"/>
  <c r="DK14" i="2"/>
  <c r="DG14" i="2"/>
  <c r="DH14" i="2" s="1"/>
  <c r="DK64" i="2"/>
  <c r="DG64" i="2"/>
  <c r="DH64" i="2" s="1"/>
  <c r="GH8" i="1"/>
  <c r="E8" i="1"/>
  <c r="C8" i="1" s="1"/>
  <c r="D8" i="1"/>
  <c r="AK8" i="1" s="1"/>
  <c r="AX12" i="1"/>
  <c r="DD12" i="1"/>
  <c r="GH27" i="1"/>
  <c r="GL27" i="1" s="1"/>
  <c r="GP27" i="1" s="1"/>
  <c r="GS27" i="1" s="1"/>
  <c r="E27" i="1"/>
  <c r="C27" i="1" s="1"/>
  <c r="D27" i="1"/>
  <c r="AK27" i="1" s="1"/>
  <c r="HI44" i="2"/>
  <c r="BP44" i="2"/>
  <c r="HG44" i="2"/>
  <c r="HJ44" i="2"/>
  <c r="HF44" i="2"/>
  <c r="HH44" i="2" s="1"/>
  <c r="HI34" i="2"/>
  <c r="HG34" i="2"/>
  <c r="HF34" i="2"/>
  <c r="HH34" i="2" s="1"/>
  <c r="HJ34" i="2"/>
  <c r="BP34" i="2"/>
  <c r="GH30" i="1"/>
  <c r="GL30" i="1" s="1"/>
  <c r="GP30" i="1" s="1"/>
  <c r="GS30" i="1" s="1"/>
  <c r="E30" i="1"/>
  <c r="C30" i="1" s="1"/>
  <c r="D30" i="1"/>
  <c r="AK30" i="1" s="1"/>
  <c r="HI13" i="1"/>
  <c r="BP13" i="1"/>
  <c r="HJ13" i="1"/>
  <c r="HF13" i="1"/>
  <c r="HH13" i="1" s="1"/>
  <c r="BO13" i="1" s="1"/>
  <c r="HG13" i="1"/>
  <c r="DK24" i="1"/>
  <c r="AY24" i="1" s="1"/>
  <c r="U24" i="1" s="1"/>
  <c r="DG24" i="1"/>
  <c r="DH24" i="1" s="1"/>
  <c r="W24" i="1" s="1"/>
  <c r="AX34" i="1"/>
  <c r="DD34" i="1"/>
  <c r="HD22" i="2"/>
  <c r="BN22" i="2" s="1"/>
  <c r="HH31" i="1"/>
  <c r="BO31" i="1" s="1"/>
  <c r="HI9" i="1"/>
  <c r="BP9" i="1"/>
  <c r="HJ9" i="1"/>
  <c r="HF9" i="1"/>
  <c r="HH9" i="1" s="1"/>
  <c r="BO9" i="1" s="1"/>
  <c r="HG9" i="1"/>
  <c r="HD44" i="2"/>
  <c r="BN44" i="2" s="1"/>
  <c r="HH39" i="2"/>
  <c r="BO39" i="2" s="1"/>
  <c r="HC32" i="2"/>
  <c r="BP32" i="2" s="1"/>
  <c r="DK19" i="1"/>
  <c r="AY19" i="1" s="1"/>
  <c r="U19" i="1" s="1"/>
  <c r="DG19" i="1"/>
  <c r="DH19" i="1" s="1"/>
  <c r="W19" i="1" s="1"/>
  <c r="HC52" i="2"/>
  <c r="BP52" i="2" s="1"/>
  <c r="HD13" i="1"/>
  <c r="BN13" i="1" s="1"/>
  <c r="DG32" i="1"/>
  <c r="DH32" i="1" s="1"/>
  <c r="W32" i="1" s="1"/>
  <c r="DK32" i="1"/>
  <c r="AY32" i="1" s="1"/>
  <c r="U32" i="1" s="1"/>
  <c r="HI20" i="1"/>
  <c r="HF20" i="1"/>
  <c r="HH20" i="1" s="1"/>
  <c r="HJ20" i="1"/>
  <c r="HG20" i="1"/>
  <c r="BP20" i="1"/>
  <c r="HF17" i="2"/>
  <c r="HJ17" i="2"/>
  <c r="HG17" i="2"/>
  <c r="BP17" i="2"/>
  <c r="HI17" i="2"/>
  <c r="HG10" i="1"/>
  <c r="HJ10" i="1"/>
  <c r="HI10" i="1"/>
  <c r="BP10" i="1"/>
  <c r="HF10" i="1"/>
  <c r="HH10" i="1" s="1"/>
  <c r="BO10" i="1" s="1"/>
  <c r="HC16" i="1"/>
  <c r="BP16" i="1" s="1"/>
  <c r="DK55" i="2"/>
  <c r="DG55" i="2"/>
  <c r="DH55" i="2" s="1"/>
  <c r="DG18" i="2"/>
  <c r="DH18" i="2" s="1"/>
  <c r="DK18" i="2"/>
  <c r="DG19" i="2"/>
  <c r="DH19" i="2" s="1"/>
  <c r="DK19" i="2"/>
  <c r="DG73" i="2"/>
  <c r="DH73" i="2" s="1"/>
  <c r="DK73" i="2"/>
  <c r="DG23" i="2"/>
  <c r="DH23" i="2" s="1"/>
  <c r="DK23" i="2"/>
  <c r="DG69" i="2"/>
  <c r="DH69" i="2" s="1"/>
  <c r="DK69" i="2"/>
  <c r="DG15" i="2"/>
  <c r="DH15" i="2" s="1"/>
  <c r="DK15" i="2"/>
  <c r="HC35" i="1"/>
  <c r="BP35" i="1" s="1"/>
  <c r="HF23" i="1"/>
  <c r="HG23" i="1"/>
  <c r="HJ23" i="1"/>
  <c r="HI23" i="1"/>
  <c r="BP23" i="1"/>
  <c r="BO74" i="2"/>
  <c r="HD52" i="2"/>
  <c r="BN52" i="2" s="1"/>
  <c r="HC16" i="2"/>
  <c r="BP16" i="2" s="1"/>
  <c r="BO38" i="1"/>
  <c r="GH40" i="1"/>
  <c r="GL40" i="1" s="1"/>
  <c r="GP40" i="1" s="1"/>
  <c r="GS40" i="1" s="1"/>
  <c r="E40" i="1"/>
  <c r="C40" i="1" s="1"/>
  <c r="D40" i="1"/>
  <c r="AK40" i="1" s="1"/>
  <c r="HH10" i="2"/>
  <c r="BO10" i="2" s="1"/>
  <c r="AX16" i="1"/>
  <c r="DD16" i="1"/>
  <c r="AX18" i="1"/>
  <c r="DD18" i="1"/>
  <c r="HD16" i="1"/>
  <c r="BN16" i="1" s="1"/>
  <c r="HD30" i="2"/>
  <c r="BN30" i="2" s="1"/>
  <c r="DK35" i="2"/>
  <c r="DG35" i="2"/>
  <c r="DH35" i="2" s="1"/>
  <c r="BO20" i="2"/>
  <c r="HH55" i="2"/>
  <c r="BO55" i="2" s="1"/>
  <c r="AX21" i="1"/>
  <c r="DD21" i="1"/>
  <c r="BO41" i="2"/>
  <c r="HH19" i="2"/>
  <c r="BO19" i="2" s="1"/>
  <c r="DK60" i="2"/>
  <c r="DG60" i="2"/>
  <c r="DH60" i="2" s="1"/>
  <c r="HC19" i="1"/>
  <c r="BP19" i="1" s="1"/>
  <c r="DK42" i="2"/>
  <c r="DG42" i="2"/>
  <c r="DH42" i="2" s="1"/>
  <c r="DK13" i="1"/>
  <c r="AY13" i="1" s="1"/>
  <c r="U13" i="1" s="1"/>
  <c r="DG13" i="1"/>
  <c r="DH13" i="1" s="1"/>
  <c r="W13" i="1" s="1"/>
  <c r="DK40" i="2"/>
  <c r="DG40" i="2"/>
  <c r="DH40" i="2" s="1"/>
  <c r="HD16" i="2"/>
  <c r="BN16" i="2" s="1"/>
  <c r="HD26" i="2"/>
  <c r="BN26" i="2" s="1"/>
  <c r="DK16" i="2"/>
  <c r="DG16" i="2"/>
  <c r="DH16" i="2" s="1"/>
  <c r="E23" i="1"/>
  <c r="C23" i="1" s="1"/>
  <c r="GH23" i="1"/>
  <c r="GL23" i="1" s="1"/>
  <c r="GP23" i="1" s="1"/>
  <c r="GS23" i="1" s="1"/>
  <c r="D23" i="1"/>
  <c r="AK23" i="1" s="1"/>
  <c r="HG12" i="2"/>
  <c r="BP12" i="2"/>
  <c r="HI12" i="2"/>
  <c r="HJ12" i="2"/>
  <c r="HF12" i="2"/>
  <c r="HH12" i="2" s="1"/>
  <c r="DK59" i="2"/>
  <c r="DG59" i="2"/>
  <c r="DH59" i="2" s="1"/>
  <c r="HF29" i="1"/>
  <c r="HH29" i="1" s="1"/>
  <c r="BO29" i="1" s="1"/>
  <c r="HG29" i="1"/>
  <c r="HJ29" i="1"/>
  <c r="HI29" i="1"/>
  <c r="BP29" i="1"/>
  <c r="HC11" i="2"/>
  <c r="BP11" i="2" s="1"/>
  <c r="AX15" i="1"/>
  <c r="DD15" i="1"/>
  <c r="HI51" i="2"/>
  <c r="BP51" i="2"/>
  <c r="HF51" i="2"/>
  <c r="HG51" i="2"/>
  <c r="HJ51" i="2"/>
  <c r="DK9" i="1"/>
  <c r="AY9" i="1" s="1"/>
  <c r="U9" i="1" s="1"/>
  <c r="DG9" i="1"/>
  <c r="DH9" i="1" s="1"/>
  <c r="W9" i="1" s="1"/>
  <c r="HC9" i="2"/>
  <c r="BP9" i="2" s="1"/>
  <c r="DK52" i="2"/>
  <c r="DG52" i="2"/>
  <c r="DH52" i="2" s="1"/>
  <c r="HC24" i="2"/>
  <c r="BP24" i="2" s="1"/>
  <c r="DG25" i="2"/>
  <c r="DH25" i="2" s="1"/>
  <c r="DK25" i="2"/>
  <c r="DG39" i="1"/>
  <c r="DH39" i="1" s="1"/>
  <c r="W39" i="1" s="1"/>
  <c r="DK39" i="1"/>
  <c r="AY39" i="1" s="1"/>
  <c r="U39" i="1" s="1"/>
  <c r="HF25" i="2"/>
  <c r="HH25" i="2" s="1"/>
  <c r="HJ25" i="2"/>
  <c r="HG25" i="2"/>
  <c r="BP25" i="2"/>
  <c r="HI25" i="2"/>
  <c r="GH26" i="1"/>
  <c r="GL26" i="1" s="1"/>
  <c r="GP26" i="1" s="1"/>
  <c r="GS26" i="1" s="1"/>
  <c r="D26" i="1"/>
  <c r="AK26" i="1" s="1"/>
  <c r="E26" i="1"/>
  <c r="C26" i="1" s="1"/>
  <c r="AX35" i="1"/>
  <c r="DD35" i="1"/>
  <c r="HD77" i="2"/>
  <c r="BN77" i="2" s="1"/>
  <c r="HC40" i="1"/>
  <c r="BP40" i="1" s="1"/>
  <c r="HC76" i="2"/>
  <c r="BP76" i="2" s="1"/>
  <c r="AX29" i="1"/>
  <c r="DD29" i="1"/>
  <c r="GH20" i="1"/>
  <c r="GL20" i="1" s="1"/>
  <c r="GP20" i="1" s="1"/>
  <c r="GS20" i="1" s="1"/>
  <c r="E20" i="1"/>
  <c r="C20" i="1" s="1"/>
  <c r="D20" i="1"/>
  <c r="AK20" i="1" s="1"/>
  <c r="HH8" i="2"/>
  <c r="BO8" i="2" s="1"/>
  <c r="HH70" i="2"/>
  <c r="BO70" i="2" s="1"/>
  <c r="HH61" i="2"/>
  <c r="BO61" i="2" s="1"/>
  <c r="HH35" i="2"/>
  <c r="BO35" i="2" s="1"/>
  <c r="HH68" i="2"/>
  <c r="BO68" i="2" s="1"/>
  <c r="HH23" i="2"/>
  <c r="BO23" i="2" s="1"/>
  <c r="GU20" i="1" l="1"/>
  <c r="GV20" i="1"/>
  <c r="BO25" i="2"/>
  <c r="GH9" i="1"/>
  <c r="GL9" i="1" s="1"/>
  <c r="GP9" i="1" s="1"/>
  <c r="GS9" i="1" s="1"/>
  <c r="E9" i="1"/>
  <c r="C9" i="1" s="1"/>
  <c r="D9" i="1"/>
  <c r="AK9" i="1" s="1"/>
  <c r="GU23" i="1"/>
  <c r="GW23" i="1" s="1"/>
  <c r="BK23" i="1" s="1"/>
  <c r="GV23" i="1"/>
  <c r="BO34" i="2"/>
  <c r="GU27" i="1"/>
  <c r="GV27" i="1"/>
  <c r="GU33" i="1"/>
  <c r="GW33" i="1" s="1"/>
  <c r="BK33" i="1" s="1"/>
  <c r="GV33" i="1"/>
  <c r="GH28" i="1"/>
  <c r="GL28" i="1" s="1"/>
  <c r="GP28" i="1" s="1"/>
  <c r="GS28" i="1" s="1"/>
  <c r="E28" i="1"/>
  <c r="C28" i="1" s="1"/>
  <c r="D28" i="1"/>
  <c r="AK28" i="1" s="1"/>
  <c r="HH16" i="1"/>
  <c r="BO16" i="1" s="1"/>
  <c r="BO32" i="2"/>
  <c r="HH31" i="2"/>
  <c r="BO31" i="2" s="1"/>
  <c r="BO36" i="1"/>
  <c r="HI14" i="2"/>
  <c r="HF14" i="2"/>
  <c r="HJ14" i="2"/>
  <c r="HG14" i="2"/>
  <c r="BP14" i="2"/>
  <c r="HH26" i="1"/>
  <c r="BO26" i="1" s="1"/>
  <c r="BO57" i="2"/>
  <c r="BO40" i="1"/>
  <c r="BO24" i="2"/>
  <c r="HH69" i="2"/>
  <c r="BO69" i="2" s="1"/>
  <c r="BO29" i="2"/>
  <c r="GH39" i="1"/>
  <c r="GL39" i="1" s="1"/>
  <c r="GP39" i="1" s="1"/>
  <c r="GS39" i="1" s="1"/>
  <c r="E39" i="1"/>
  <c r="C39" i="1" s="1"/>
  <c r="D39" i="1"/>
  <c r="AK39" i="1" s="1"/>
  <c r="GU40" i="1"/>
  <c r="GW40" i="1" s="1"/>
  <c r="BK40" i="1" s="1"/>
  <c r="GV40" i="1"/>
  <c r="BO20" i="1"/>
  <c r="GH19" i="1"/>
  <c r="GL19" i="1" s="1"/>
  <c r="GP19" i="1" s="1"/>
  <c r="GS19" i="1" s="1"/>
  <c r="E19" i="1"/>
  <c r="C19" i="1" s="1"/>
  <c r="D19" i="1"/>
  <c r="AK19" i="1" s="1"/>
  <c r="GV30" i="1"/>
  <c r="GU30" i="1"/>
  <c r="GW30" i="1" s="1"/>
  <c r="BK30" i="1" s="1"/>
  <c r="BO44" i="2"/>
  <c r="GU11" i="1"/>
  <c r="GW11" i="1" s="1"/>
  <c r="BK11" i="1" s="1"/>
  <c r="GV11" i="1"/>
  <c r="BO75" i="2"/>
  <c r="N27" i="6"/>
  <c r="J27" i="6"/>
  <c r="F27" i="6"/>
  <c r="O27" i="6"/>
  <c r="L27" i="6"/>
  <c r="H27" i="6"/>
  <c r="M27" i="6"/>
  <c r="E27" i="6"/>
  <c r="K27" i="6"/>
  <c r="G27" i="6"/>
  <c r="GW22" i="1"/>
  <c r="BK22" i="1" s="1"/>
  <c r="GV17" i="1"/>
  <c r="GU17" i="1"/>
  <c r="GW17" i="1" s="1"/>
  <c r="BK17" i="1" s="1"/>
  <c r="HI15" i="1"/>
  <c r="BP15" i="1"/>
  <c r="HF15" i="1"/>
  <c r="HG15" i="1"/>
  <c r="HJ15" i="1"/>
  <c r="BO56" i="2"/>
  <c r="GH25" i="1"/>
  <c r="GL25" i="1" s="1"/>
  <c r="GP25" i="1" s="1"/>
  <c r="GS25" i="1" s="1"/>
  <c r="E25" i="1"/>
  <c r="C25" i="1" s="1"/>
  <c r="D25" i="1"/>
  <c r="AK25" i="1" s="1"/>
  <c r="GH12" i="1"/>
  <c r="GL12" i="1" s="1"/>
  <c r="GP12" i="1" s="1"/>
  <c r="GS12" i="1" s="1"/>
  <c r="E12" i="1"/>
  <c r="C12" i="1" s="1"/>
  <c r="D12" i="1"/>
  <c r="AK12" i="1" s="1"/>
  <c r="BO48" i="2"/>
  <c r="HH8" i="1"/>
  <c r="HF2" i="1"/>
  <c r="HG40" i="2"/>
  <c r="HI40" i="2"/>
  <c r="HJ40" i="2"/>
  <c r="BP40" i="2"/>
  <c r="HF40" i="2"/>
  <c r="HH40" i="2" s="1"/>
  <c r="GH21" i="1"/>
  <c r="GL21" i="1" s="1"/>
  <c r="GP21" i="1" s="1"/>
  <c r="GS21" i="1" s="1"/>
  <c r="E21" i="1"/>
  <c r="C21" i="1" s="1"/>
  <c r="D21" i="1"/>
  <c r="AK21" i="1" s="1"/>
  <c r="HH60" i="2"/>
  <c r="BO60" i="2" s="1"/>
  <c r="HH33" i="2"/>
  <c r="BO33" i="2" s="1"/>
  <c r="BO36" i="2"/>
  <c r="HH28" i="2"/>
  <c r="BO28" i="2" s="1"/>
  <c r="HH76" i="2"/>
  <c r="BO76" i="2" s="1"/>
  <c r="GH15" i="1"/>
  <c r="GL15" i="1" s="1"/>
  <c r="GP15" i="1" s="1"/>
  <c r="GS15" i="1" s="1"/>
  <c r="E15" i="1"/>
  <c r="C15" i="1" s="1"/>
  <c r="D15" i="1"/>
  <c r="AK15" i="1" s="1"/>
  <c r="BO11" i="2"/>
  <c r="GU37" i="1"/>
  <c r="GV37" i="1"/>
  <c r="HH39" i="1"/>
  <c r="BO39" i="1" s="1"/>
  <c r="HH37" i="2"/>
  <c r="BO37" i="2" s="1"/>
  <c r="HH30" i="2"/>
  <c r="BO30" i="2" s="1"/>
  <c r="BO12" i="2"/>
  <c r="BO50" i="2"/>
  <c r="BO38" i="2"/>
  <c r="BO77" i="2"/>
  <c r="BO27" i="1"/>
  <c r="GV14" i="1"/>
  <c r="GU14" i="1"/>
  <c r="GW14" i="1" s="1"/>
  <c r="BK14" i="1" s="1"/>
  <c r="BO19" i="1"/>
  <c r="BO16" i="2"/>
  <c r="HG13" i="2"/>
  <c r="HI13" i="2"/>
  <c r="HJ13" i="2"/>
  <c r="HF13" i="2"/>
  <c r="BP13" i="2"/>
  <c r="HI22" i="1"/>
  <c r="BP22" i="1"/>
  <c r="HG22" i="1"/>
  <c r="HJ22" i="1"/>
  <c r="HF22" i="1"/>
  <c r="HH22" i="1" s="1"/>
  <c r="BO45" i="2"/>
  <c r="E29" i="1"/>
  <c r="C29" i="1" s="1"/>
  <c r="GH29" i="1"/>
  <c r="GL29" i="1" s="1"/>
  <c r="GP29" i="1" s="1"/>
  <c r="GS29" i="1" s="1"/>
  <c r="D29" i="1"/>
  <c r="AK29" i="1" s="1"/>
  <c r="BO42" i="2"/>
  <c r="GH35" i="1"/>
  <c r="GL35" i="1" s="1"/>
  <c r="GP35" i="1" s="1"/>
  <c r="GS35" i="1" s="1"/>
  <c r="E35" i="1"/>
  <c r="C35" i="1" s="1"/>
  <c r="D35" i="1"/>
  <c r="AK35" i="1" s="1"/>
  <c r="BO25" i="1"/>
  <c r="HH21" i="2"/>
  <c r="BO21" i="2" s="1"/>
  <c r="BO35" i="1"/>
  <c r="BO64" i="2"/>
  <c r="GV26" i="1"/>
  <c r="GU26" i="1"/>
  <c r="HH51" i="2"/>
  <c r="BO51" i="2" s="1"/>
  <c r="GH13" i="1"/>
  <c r="GL13" i="1" s="1"/>
  <c r="GP13" i="1" s="1"/>
  <c r="GS13" i="1" s="1"/>
  <c r="E13" i="1"/>
  <c r="C13" i="1" s="1"/>
  <c r="D13" i="1"/>
  <c r="AK13" i="1" s="1"/>
  <c r="HH23" i="1"/>
  <c r="BO23" i="1" s="1"/>
  <c r="HH17" i="2"/>
  <c r="BO17" i="2" s="1"/>
  <c r="GH32" i="1"/>
  <c r="GL32" i="1" s="1"/>
  <c r="GP32" i="1" s="1"/>
  <c r="GS32" i="1" s="1"/>
  <c r="E32" i="1"/>
  <c r="C32" i="1" s="1"/>
  <c r="D32" i="1"/>
  <c r="AK32" i="1" s="1"/>
  <c r="GH24" i="1"/>
  <c r="GL24" i="1" s="1"/>
  <c r="GP24" i="1" s="1"/>
  <c r="GS24" i="1" s="1"/>
  <c r="E24" i="1"/>
  <c r="C24" i="1" s="1"/>
  <c r="D24" i="1"/>
  <c r="AK24" i="1" s="1"/>
  <c r="GH2" i="1"/>
  <c r="GL8" i="1"/>
  <c r="GH18" i="1"/>
  <c r="GL18" i="1" s="1"/>
  <c r="GP18" i="1" s="1"/>
  <c r="GS18" i="1" s="1"/>
  <c r="E18" i="1"/>
  <c r="C18" i="1" s="1"/>
  <c r="D18" i="1"/>
  <c r="AK18" i="1" s="1"/>
  <c r="GH16" i="1"/>
  <c r="GL16" i="1" s="1"/>
  <c r="GP16" i="1" s="1"/>
  <c r="GS16" i="1" s="1"/>
  <c r="E16" i="1"/>
  <c r="C16" i="1" s="1"/>
  <c r="D16" i="1"/>
  <c r="AK16" i="1" s="1"/>
  <c r="GU10" i="1"/>
  <c r="GW10" i="1" s="1"/>
  <c r="BK10" i="1" s="1"/>
  <c r="GV10" i="1"/>
  <c r="HI26" i="2"/>
  <c r="HF26" i="2"/>
  <c r="HJ26" i="2"/>
  <c r="HG26" i="2"/>
  <c r="BP26" i="2"/>
  <c r="GH34" i="1"/>
  <c r="GL34" i="1" s="1"/>
  <c r="GP34" i="1" s="1"/>
  <c r="GS34" i="1" s="1"/>
  <c r="E34" i="1"/>
  <c r="C34" i="1" s="1"/>
  <c r="D34" i="1"/>
  <c r="AK34" i="1" s="1"/>
  <c r="GH31" i="1"/>
  <c r="GL31" i="1" s="1"/>
  <c r="GP31" i="1" s="1"/>
  <c r="GS31" i="1" s="1"/>
  <c r="E31" i="1"/>
  <c r="C31" i="1" s="1"/>
  <c r="D31" i="1"/>
  <c r="AK31" i="1" s="1"/>
  <c r="BO32" i="1"/>
  <c r="GH38" i="1"/>
  <c r="GL38" i="1" s="1"/>
  <c r="GP38" i="1" s="1"/>
  <c r="GS38" i="1" s="1"/>
  <c r="E38" i="1"/>
  <c r="C38" i="1" s="1"/>
  <c r="D38" i="1"/>
  <c r="AK38" i="1" s="1"/>
  <c r="BO63" i="2"/>
  <c r="BO52" i="2"/>
  <c r="GU36" i="1"/>
  <c r="GW36" i="1" s="1"/>
  <c r="BK36" i="1" s="1"/>
  <c r="GV36" i="1"/>
  <c r="HH79" i="2"/>
  <c r="BO79" i="2" s="1"/>
  <c r="HH17" i="1"/>
  <c r="BO17" i="1" s="1"/>
  <c r="HH9" i="2"/>
  <c r="BO9" i="2" s="1"/>
  <c r="HI22" i="2"/>
  <c r="HF22" i="2"/>
  <c r="HH22" i="2" s="1"/>
  <c r="BO22" i="2" s="1"/>
  <c r="HJ22" i="2"/>
  <c r="HG22" i="2"/>
  <c r="BP22" i="2"/>
  <c r="HH18" i="2"/>
  <c r="BO18" i="2" s="1"/>
  <c r="BO67" i="2"/>
  <c r="GV34" i="1" l="1"/>
  <c r="GU34" i="1"/>
  <c r="GW34" i="1" s="1"/>
  <c r="BK34" i="1" s="1"/>
  <c r="HH26" i="2"/>
  <c r="BO26" i="2" s="1"/>
  <c r="GU15" i="1"/>
  <c r="GW15" i="1" s="1"/>
  <c r="BK15" i="1" s="1"/>
  <c r="GV15" i="1"/>
  <c r="GU39" i="1"/>
  <c r="GV39" i="1"/>
  <c r="GU9" i="1"/>
  <c r="GW9" i="1" s="1"/>
  <c r="BK9" i="1" s="1"/>
  <c r="GV9" i="1"/>
  <c r="GV38" i="1"/>
  <c r="GU38" i="1"/>
  <c r="GW38" i="1" s="1"/>
  <c r="BK38" i="1" s="1"/>
  <c r="GU13" i="1"/>
  <c r="GW13" i="1" s="1"/>
  <c r="BK13" i="1" s="1"/>
  <c r="GV13" i="1"/>
  <c r="GW26" i="1"/>
  <c r="BK26" i="1" s="1"/>
  <c r="BO22" i="1"/>
  <c r="GV18" i="1"/>
  <c r="GU18" i="1"/>
  <c r="GU32" i="1"/>
  <c r="GV32" i="1"/>
  <c r="GU35" i="1"/>
  <c r="GW35" i="1" s="1"/>
  <c r="BK35" i="1" s="1"/>
  <c r="GV35" i="1"/>
  <c r="GU29" i="1"/>
  <c r="GV29" i="1"/>
  <c r="GU21" i="1"/>
  <c r="GW21" i="1" s="1"/>
  <c r="BK21" i="1" s="1"/>
  <c r="GV21" i="1"/>
  <c r="BO8" i="1"/>
  <c r="HH2" i="1"/>
  <c r="GU19" i="1"/>
  <c r="GW19" i="1" s="1"/>
  <c r="BK19" i="1" s="1"/>
  <c r="GV19" i="1"/>
  <c r="GV28" i="1"/>
  <c r="GU28" i="1"/>
  <c r="GW28" i="1" s="1"/>
  <c r="BK28" i="1" s="1"/>
  <c r="GU31" i="1"/>
  <c r="GW31" i="1" s="1"/>
  <c r="BK31" i="1" s="1"/>
  <c r="GV31" i="1"/>
  <c r="GU16" i="1"/>
  <c r="GV16" i="1"/>
  <c r="GP8" i="1"/>
  <c r="GL2" i="1"/>
  <c r="GV24" i="1"/>
  <c r="GU24" i="1"/>
  <c r="GW24" i="1" s="1"/>
  <c r="BK24" i="1" s="1"/>
  <c r="HH13" i="2"/>
  <c r="BO13" i="2" s="1"/>
  <c r="GW37" i="1"/>
  <c r="BK37" i="1" s="1"/>
  <c r="BO40" i="2"/>
  <c r="GV12" i="1"/>
  <c r="GU12" i="1"/>
  <c r="GW12" i="1" s="1"/>
  <c r="BK12" i="1" s="1"/>
  <c r="GU25" i="1"/>
  <c r="GV25" i="1"/>
  <c r="HH15" i="1"/>
  <c r="BO15" i="1" s="1"/>
  <c r="HH14" i="2"/>
  <c r="BO14" i="2" s="1"/>
  <c r="GW27" i="1"/>
  <c r="BK27" i="1" s="1"/>
  <c r="GW20" i="1"/>
  <c r="BK20" i="1" s="1"/>
  <c r="GP2" i="1" l="1"/>
  <c r="GS8" i="1"/>
  <c r="GW16" i="1"/>
  <c r="BK16" i="1" s="1"/>
  <c r="GW29" i="1"/>
  <c r="BK29" i="1" s="1"/>
  <c r="GW32" i="1"/>
  <c r="BK32" i="1" s="1"/>
  <c r="GW39" i="1"/>
  <c r="BK39" i="1" s="1"/>
  <c r="GW25" i="1"/>
  <c r="BK25" i="1" s="1"/>
  <c r="GW18" i="1"/>
  <c r="BK18" i="1" s="1"/>
  <c r="GU8" i="1" l="1"/>
  <c r="GV8" i="1"/>
  <c r="GV2" i="1" s="1"/>
  <c r="GS2" i="1"/>
  <c r="GW8" i="1" l="1"/>
  <c r="GU2" i="1"/>
  <c r="BK8" i="1" l="1"/>
  <c r="GW2" i="1"/>
  <c r="C8" i="2"/>
  <c r="D8" i="2"/>
  <c r="E8" i="2"/>
  <c r="S8" i="2"/>
  <c r="T8" i="2"/>
  <c r="U8" i="2"/>
  <c r="V8" i="2"/>
  <c r="W8" i="2"/>
  <c r="X8" i="2"/>
  <c r="Y8" i="2"/>
  <c r="Z8" i="2"/>
  <c r="AA8" i="2"/>
  <c r="AB8" i="2"/>
  <c r="AD8" i="2"/>
  <c r="AE8" i="2"/>
  <c r="AF8" i="2"/>
  <c r="AG8" i="2"/>
  <c r="AH8" i="2"/>
  <c r="AJ8" i="2"/>
  <c r="AK8" i="2"/>
  <c r="AL8" i="2"/>
  <c r="AM8" i="2"/>
  <c r="AN8" i="2"/>
  <c r="AO8" i="2"/>
  <c r="AP8" i="2"/>
  <c r="AQ8" i="2"/>
  <c r="AR8" i="2"/>
  <c r="AS8" i="2"/>
  <c r="AT8" i="2"/>
  <c r="AU8" i="2"/>
  <c r="AW8" i="2"/>
  <c r="AX8" i="2"/>
  <c r="AY8" i="2"/>
  <c r="AZ8" i="2"/>
  <c r="BB8" i="2"/>
  <c r="BC8" i="2"/>
  <c r="BE8" i="2"/>
  <c r="BF8" i="2"/>
  <c r="BH8" i="2"/>
  <c r="BI8" i="2"/>
  <c r="BK8" i="2"/>
  <c r="CS8" i="2"/>
  <c r="CT8" i="2"/>
  <c r="CU8" i="2"/>
  <c r="CV8" i="2"/>
  <c r="CW8" i="2"/>
  <c r="CX8" i="2"/>
  <c r="CY8" i="2"/>
  <c r="DD8" i="2"/>
  <c r="DE8" i="2"/>
  <c r="DL8" i="2"/>
  <c r="DQ8" i="2"/>
  <c r="DS8" i="2"/>
  <c r="DU8" i="2"/>
  <c r="DV8" i="2"/>
  <c r="DW8" i="2"/>
  <c r="DX8" i="2"/>
  <c r="DY8" i="2"/>
  <c r="DZ8" i="2"/>
  <c r="FE8" i="2"/>
  <c r="FF8" i="2"/>
  <c r="FG8" i="2"/>
  <c r="FH8" i="2"/>
  <c r="FI8" i="2"/>
  <c r="FJ8" i="2"/>
  <c r="FK8" i="2"/>
  <c r="FL8" i="2"/>
  <c r="FP8" i="2"/>
  <c r="FQ8" i="2"/>
  <c r="FS8" i="2"/>
  <c r="FT8" i="2"/>
  <c r="FV8" i="2"/>
  <c r="FW8" i="2"/>
  <c r="FX8" i="2"/>
  <c r="FY8" i="2"/>
  <c r="FZ8" i="2"/>
  <c r="GA8" i="2"/>
  <c r="GB8" i="2"/>
  <c r="GC8" i="2"/>
  <c r="GE8" i="2"/>
  <c r="GF8" i="2"/>
  <c r="GG8" i="2"/>
  <c r="GH8" i="2"/>
  <c r="GI8" i="2"/>
  <c r="GJ8" i="2"/>
  <c r="GK8" i="2"/>
  <c r="GL8" i="2"/>
  <c r="GM8" i="2"/>
  <c r="GN8" i="2"/>
  <c r="GO8" i="2"/>
  <c r="GP8" i="2"/>
  <c r="GQ8" i="2"/>
  <c r="GR8" i="2"/>
  <c r="GS8" i="2"/>
  <c r="GT8" i="2"/>
  <c r="GU8" i="2"/>
  <c r="GV8" i="2"/>
  <c r="GW8" i="2"/>
  <c r="C9" i="2"/>
  <c r="D9" i="2"/>
  <c r="E9" i="2"/>
  <c r="S9" i="2"/>
  <c r="T9" i="2"/>
  <c r="U9" i="2"/>
  <c r="V9" i="2"/>
  <c r="W9" i="2"/>
  <c r="X9" i="2"/>
  <c r="Y9" i="2"/>
  <c r="Z9" i="2"/>
  <c r="AA9" i="2"/>
  <c r="AB9" i="2"/>
  <c r="AD9" i="2"/>
  <c r="AE9" i="2"/>
  <c r="AF9" i="2"/>
  <c r="AG9" i="2"/>
  <c r="AH9" i="2"/>
  <c r="AJ9" i="2"/>
  <c r="AK9" i="2"/>
  <c r="AL9" i="2"/>
  <c r="AM9" i="2"/>
  <c r="AN9" i="2"/>
  <c r="AO9" i="2"/>
  <c r="AP9" i="2"/>
  <c r="AQ9" i="2"/>
  <c r="AR9" i="2"/>
  <c r="AS9" i="2"/>
  <c r="AT9" i="2"/>
  <c r="AU9" i="2"/>
  <c r="AW9" i="2"/>
  <c r="AX9" i="2"/>
  <c r="AY9" i="2"/>
  <c r="AZ9" i="2"/>
  <c r="BB9" i="2"/>
  <c r="BC9" i="2"/>
  <c r="BE9" i="2"/>
  <c r="BF9" i="2"/>
  <c r="BH9" i="2"/>
  <c r="BI9" i="2"/>
  <c r="BK9" i="2"/>
  <c r="CS9" i="2"/>
  <c r="CT9" i="2"/>
  <c r="CU9" i="2"/>
  <c r="CV9" i="2"/>
  <c r="CW9" i="2"/>
  <c r="CX9" i="2"/>
  <c r="CY9" i="2"/>
  <c r="DD9" i="2"/>
  <c r="DE9" i="2"/>
  <c r="DL9" i="2"/>
  <c r="DQ9" i="2"/>
  <c r="DS9" i="2"/>
  <c r="DU9" i="2"/>
  <c r="DV9" i="2"/>
  <c r="DW9" i="2"/>
  <c r="DX9" i="2"/>
  <c r="DY9" i="2"/>
  <c r="DZ9" i="2"/>
  <c r="FE9" i="2"/>
  <c r="FF9" i="2"/>
  <c r="FG9" i="2"/>
  <c r="FH9" i="2"/>
  <c r="FI9" i="2"/>
  <c r="FJ9" i="2"/>
  <c r="FK9" i="2"/>
  <c r="FL9" i="2"/>
  <c r="FP9" i="2"/>
  <c r="FQ9" i="2"/>
  <c r="FS9" i="2"/>
  <c r="FT9" i="2"/>
  <c r="FV9" i="2"/>
  <c r="FW9" i="2"/>
  <c r="FX9" i="2"/>
  <c r="FY9" i="2"/>
  <c r="FZ9" i="2"/>
  <c r="GA9" i="2"/>
  <c r="GB9" i="2"/>
  <c r="GC9" i="2"/>
  <c r="GE9" i="2"/>
  <c r="GF9" i="2"/>
  <c r="GG9" i="2"/>
  <c r="GH9" i="2"/>
  <c r="GI9" i="2"/>
  <c r="GJ9" i="2"/>
  <c r="GK9" i="2"/>
  <c r="GL9" i="2"/>
  <c r="GM9" i="2"/>
  <c r="GN9" i="2"/>
  <c r="GO9" i="2"/>
  <c r="GP9" i="2"/>
  <c r="GQ9" i="2"/>
  <c r="GR9" i="2"/>
  <c r="GS9" i="2"/>
  <c r="GT9" i="2"/>
  <c r="GU9" i="2"/>
  <c r="GV9" i="2"/>
  <c r="GW9" i="2"/>
  <c r="C10" i="2"/>
  <c r="D10" i="2"/>
  <c r="E10" i="2"/>
  <c r="S10" i="2"/>
  <c r="T10" i="2"/>
  <c r="U10" i="2"/>
  <c r="V10" i="2"/>
  <c r="W10" i="2"/>
  <c r="X10" i="2"/>
  <c r="Y10" i="2"/>
  <c r="Z10" i="2"/>
  <c r="AA10" i="2"/>
  <c r="AB10" i="2"/>
  <c r="AD10" i="2"/>
  <c r="AE10" i="2"/>
  <c r="AF10" i="2"/>
  <c r="AG10" i="2"/>
  <c r="AH10" i="2"/>
  <c r="AJ10" i="2"/>
  <c r="AK10" i="2"/>
  <c r="AL10" i="2"/>
  <c r="AM10" i="2"/>
  <c r="AN10" i="2"/>
  <c r="AO10" i="2"/>
  <c r="AP10" i="2"/>
  <c r="AQ10" i="2"/>
  <c r="AR10" i="2"/>
  <c r="AS10" i="2"/>
  <c r="AT10" i="2"/>
  <c r="AU10" i="2"/>
  <c r="AW10" i="2"/>
  <c r="AX10" i="2"/>
  <c r="AY10" i="2"/>
  <c r="AZ10" i="2"/>
  <c r="BB10" i="2"/>
  <c r="BC10" i="2"/>
  <c r="BE10" i="2"/>
  <c r="BF10" i="2"/>
  <c r="BH10" i="2"/>
  <c r="BI10" i="2"/>
  <c r="BK10" i="2"/>
  <c r="CS10" i="2"/>
  <c r="CT10" i="2"/>
  <c r="CU10" i="2"/>
  <c r="CV10" i="2"/>
  <c r="CW10" i="2"/>
  <c r="CX10" i="2"/>
  <c r="CY10" i="2"/>
  <c r="DD10" i="2"/>
  <c r="DE10" i="2"/>
  <c r="DL10" i="2"/>
  <c r="DQ10" i="2"/>
  <c r="DS10" i="2"/>
  <c r="DU10" i="2"/>
  <c r="DV10" i="2"/>
  <c r="DW10" i="2"/>
  <c r="DX10" i="2"/>
  <c r="DY10" i="2"/>
  <c r="DZ10" i="2"/>
  <c r="FE10" i="2"/>
  <c r="FF10" i="2"/>
  <c r="FG10" i="2"/>
  <c r="FH10" i="2"/>
  <c r="FI10" i="2"/>
  <c r="FJ10" i="2"/>
  <c r="FK10" i="2"/>
  <c r="FL10" i="2"/>
  <c r="FP10" i="2"/>
  <c r="FQ10" i="2"/>
  <c r="FS10" i="2"/>
  <c r="FT10" i="2"/>
  <c r="FV10" i="2"/>
  <c r="FW10" i="2"/>
  <c r="FX10" i="2"/>
  <c r="FY10" i="2"/>
  <c r="FZ10" i="2"/>
  <c r="GA10" i="2"/>
  <c r="GB10" i="2"/>
  <c r="GC10" i="2"/>
  <c r="GE10" i="2"/>
  <c r="GF10" i="2"/>
  <c r="GG10" i="2"/>
  <c r="GH10" i="2"/>
  <c r="GI10" i="2"/>
  <c r="GJ10" i="2"/>
  <c r="GK10" i="2"/>
  <c r="GL10" i="2"/>
  <c r="GM10" i="2"/>
  <c r="GN10" i="2"/>
  <c r="GO10" i="2"/>
  <c r="GP10" i="2"/>
  <c r="GQ10" i="2"/>
  <c r="GR10" i="2"/>
  <c r="GS10" i="2"/>
  <c r="GT10" i="2"/>
  <c r="GU10" i="2"/>
  <c r="GV10" i="2"/>
  <c r="GW10" i="2"/>
  <c r="C11" i="2"/>
  <c r="D11" i="2"/>
  <c r="E11" i="2"/>
  <c r="S11" i="2"/>
  <c r="T11" i="2"/>
  <c r="U11" i="2"/>
  <c r="V11" i="2"/>
  <c r="W11" i="2"/>
  <c r="X11" i="2"/>
  <c r="Y11" i="2"/>
  <c r="Z11" i="2"/>
  <c r="AA11" i="2"/>
  <c r="AB11" i="2"/>
  <c r="AD11" i="2"/>
  <c r="AE11" i="2"/>
  <c r="AF11" i="2"/>
  <c r="AG11" i="2"/>
  <c r="AH11" i="2"/>
  <c r="AJ11" i="2"/>
  <c r="AK11" i="2"/>
  <c r="AL11" i="2"/>
  <c r="AM11" i="2"/>
  <c r="AN11" i="2"/>
  <c r="AO11" i="2"/>
  <c r="AP11" i="2"/>
  <c r="AQ11" i="2"/>
  <c r="AR11" i="2"/>
  <c r="AS11" i="2"/>
  <c r="AT11" i="2"/>
  <c r="AU11" i="2"/>
  <c r="AW11" i="2"/>
  <c r="AX11" i="2"/>
  <c r="AY11" i="2"/>
  <c r="AZ11" i="2"/>
  <c r="BB11" i="2"/>
  <c r="BC11" i="2"/>
  <c r="BE11" i="2"/>
  <c r="BF11" i="2"/>
  <c r="BH11" i="2"/>
  <c r="BI11" i="2"/>
  <c r="BK11" i="2"/>
  <c r="CS11" i="2"/>
  <c r="CT11" i="2"/>
  <c r="CU11" i="2"/>
  <c r="CV11" i="2"/>
  <c r="CW11" i="2"/>
  <c r="CX11" i="2"/>
  <c r="CY11" i="2"/>
  <c r="DD11" i="2"/>
  <c r="DE11" i="2"/>
  <c r="DL11" i="2"/>
  <c r="DQ11" i="2"/>
  <c r="DS11" i="2"/>
  <c r="DU11" i="2"/>
  <c r="DV11" i="2"/>
  <c r="DW11" i="2"/>
  <c r="DX11" i="2"/>
  <c r="DY11" i="2"/>
  <c r="DZ11" i="2"/>
  <c r="FE11" i="2"/>
  <c r="FF11" i="2"/>
  <c r="FG11" i="2"/>
  <c r="FH11" i="2"/>
  <c r="FI11" i="2"/>
  <c r="FJ11" i="2"/>
  <c r="FK11" i="2"/>
  <c r="FL11" i="2"/>
  <c r="FP11" i="2"/>
  <c r="FQ11" i="2"/>
  <c r="FS11" i="2"/>
  <c r="FT11" i="2"/>
  <c r="FV11" i="2"/>
  <c r="FW11" i="2"/>
  <c r="FX11" i="2"/>
  <c r="FY11" i="2"/>
  <c r="FZ11" i="2"/>
  <c r="GA11" i="2"/>
  <c r="GB11" i="2"/>
  <c r="GC11" i="2"/>
  <c r="GE11" i="2"/>
  <c r="GF11" i="2"/>
  <c r="GG11" i="2"/>
  <c r="GH11" i="2"/>
  <c r="GI11" i="2"/>
  <c r="GJ11" i="2"/>
  <c r="GK11" i="2"/>
  <c r="GL11" i="2"/>
  <c r="GM11" i="2"/>
  <c r="GN11" i="2"/>
  <c r="GO11" i="2"/>
  <c r="GP11" i="2"/>
  <c r="GQ11" i="2"/>
  <c r="GR11" i="2"/>
  <c r="GS11" i="2"/>
  <c r="GT11" i="2"/>
  <c r="GU11" i="2"/>
  <c r="GV11" i="2"/>
  <c r="GW11" i="2"/>
  <c r="C12" i="2"/>
  <c r="D12" i="2"/>
  <c r="E12" i="2"/>
  <c r="S12" i="2"/>
  <c r="T12" i="2"/>
  <c r="U12" i="2"/>
  <c r="V12" i="2"/>
  <c r="W12" i="2"/>
  <c r="X12" i="2"/>
  <c r="Y12" i="2"/>
  <c r="Z12" i="2"/>
  <c r="AA12" i="2"/>
  <c r="AB12" i="2"/>
  <c r="AD12" i="2"/>
  <c r="AE12" i="2"/>
  <c r="AF12" i="2"/>
  <c r="AG12" i="2"/>
  <c r="AH12" i="2"/>
  <c r="AJ12" i="2"/>
  <c r="AK12" i="2"/>
  <c r="AL12" i="2"/>
  <c r="AM12" i="2"/>
  <c r="AN12" i="2"/>
  <c r="AO12" i="2"/>
  <c r="AP12" i="2"/>
  <c r="AQ12" i="2"/>
  <c r="AR12" i="2"/>
  <c r="AS12" i="2"/>
  <c r="AT12" i="2"/>
  <c r="AU12" i="2"/>
  <c r="AW12" i="2"/>
  <c r="AX12" i="2"/>
  <c r="AY12" i="2"/>
  <c r="AZ12" i="2"/>
  <c r="BB12" i="2"/>
  <c r="BC12" i="2"/>
  <c r="BE12" i="2"/>
  <c r="BF12" i="2"/>
  <c r="BH12" i="2"/>
  <c r="BI12" i="2"/>
  <c r="BK12" i="2"/>
  <c r="CS12" i="2"/>
  <c r="CT12" i="2"/>
  <c r="CU12" i="2"/>
  <c r="CV12" i="2"/>
  <c r="CW12" i="2"/>
  <c r="CX12" i="2"/>
  <c r="CY12" i="2"/>
  <c r="DD12" i="2"/>
  <c r="DE12" i="2"/>
  <c r="DL12" i="2"/>
  <c r="DQ12" i="2"/>
  <c r="DS12" i="2"/>
  <c r="DU12" i="2"/>
  <c r="DV12" i="2"/>
  <c r="DW12" i="2"/>
  <c r="DX12" i="2"/>
  <c r="DY12" i="2"/>
  <c r="DZ12" i="2"/>
  <c r="FE12" i="2"/>
  <c r="FF12" i="2"/>
  <c r="FG12" i="2"/>
  <c r="FH12" i="2"/>
  <c r="FI12" i="2"/>
  <c r="FJ12" i="2"/>
  <c r="FK12" i="2"/>
  <c r="FL12" i="2"/>
  <c r="FP12" i="2"/>
  <c r="FQ12" i="2"/>
  <c r="FS12" i="2"/>
  <c r="FT12" i="2"/>
  <c r="FV12" i="2"/>
  <c r="FW12" i="2"/>
  <c r="FX12" i="2"/>
  <c r="FY12" i="2"/>
  <c r="FZ12" i="2"/>
  <c r="GA12" i="2"/>
  <c r="GB12" i="2"/>
  <c r="GC12" i="2"/>
  <c r="GE12" i="2"/>
  <c r="GF12" i="2"/>
  <c r="GG12" i="2"/>
  <c r="GH12" i="2"/>
  <c r="GI12" i="2"/>
  <c r="GJ12" i="2"/>
  <c r="GK12" i="2"/>
  <c r="GL12" i="2"/>
  <c r="GM12" i="2"/>
  <c r="GN12" i="2"/>
  <c r="GO12" i="2"/>
  <c r="GP12" i="2"/>
  <c r="GQ12" i="2"/>
  <c r="GR12" i="2"/>
  <c r="GS12" i="2"/>
  <c r="GT12" i="2"/>
  <c r="GU12" i="2"/>
  <c r="GV12" i="2"/>
  <c r="GW12" i="2"/>
  <c r="C13" i="2"/>
  <c r="D13" i="2"/>
  <c r="E13" i="2"/>
  <c r="S13" i="2"/>
  <c r="T13" i="2"/>
  <c r="U13" i="2"/>
  <c r="V13" i="2"/>
  <c r="W13" i="2"/>
  <c r="X13" i="2"/>
  <c r="Y13" i="2"/>
  <c r="Z13" i="2"/>
  <c r="AA13" i="2"/>
  <c r="AB13" i="2"/>
  <c r="AD13" i="2"/>
  <c r="AE13" i="2"/>
  <c r="AF13" i="2"/>
  <c r="AG13" i="2"/>
  <c r="AH13" i="2"/>
  <c r="AJ13" i="2"/>
  <c r="AK13" i="2"/>
  <c r="AL13" i="2"/>
  <c r="AM13" i="2"/>
  <c r="AN13" i="2"/>
  <c r="AO13" i="2"/>
  <c r="AP13" i="2"/>
  <c r="AQ13" i="2"/>
  <c r="AR13" i="2"/>
  <c r="AS13" i="2"/>
  <c r="AT13" i="2"/>
  <c r="AU13" i="2"/>
  <c r="AW13" i="2"/>
  <c r="AX13" i="2"/>
  <c r="AY13" i="2"/>
  <c r="AZ13" i="2"/>
  <c r="BB13" i="2"/>
  <c r="BC13" i="2"/>
  <c r="BE13" i="2"/>
  <c r="BF13" i="2"/>
  <c r="BH13" i="2"/>
  <c r="BI13" i="2"/>
  <c r="BK13" i="2"/>
  <c r="CS13" i="2"/>
  <c r="CT13" i="2"/>
  <c r="CU13" i="2"/>
  <c r="CV13" i="2"/>
  <c r="CW13" i="2"/>
  <c r="CX13" i="2"/>
  <c r="CY13" i="2"/>
  <c r="DD13" i="2"/>
  <c r="DE13" i="2"/>
  <c r="DL13" i="2"/>
  <c r="DQ13" i="2"/>
  <c r="DS13" i="2"/>
  <c r="DU13" i="2"/>
  <c r="DV13" i="2"/>
  <c r="DW13" i="2"/>
  <c r="DX13" i="2"/>
  <c r="DY13" i="2"/>
  <c r="DZ13" i="2"/>
  <c r="FE13" i="2"/>
  <c r="FF13" i="2"/>
  <c r="FG13" i="2"/>
  <c r="FH13" i="2"/>
  <c r="FI13" i="2"/>
  <c r="FJ13" i="2"/>
  <c r="FK13" i="2"/>
  <c r="FL13" i="2"/>
  <c r="FP13" i="2"/>
  <c r="FQ13" i="2"/>
  <c r="FS13" i="2"/>
  <c r="FT13" i="2"/>
  <c r="FV13" i="2"/>
  <c r="FW13" i="2"/>
  <c r="FX13" i="2"/>
  <c r="FY13" i="2"/>
  <c r="FZ13" i="2"/>
  <c r="GA13" i="2"/>
  <c r="GB13" i="2"/>
  <c r="GC13" i="2"/>
  <c r="GE13" i="2"/>
  <c r="GF13" i="2"/>
  <c r="GG13" i="2"/>
  <c r="GH13" i="2"/>
  <c r="GI13" i="2"/>
  <c r="GJ13" i="2"/>
  <c r="GK13" i="2"/>
  <c r="GL13" i="2"/>
  <c r="GM13" i="2"/>
  <c r="GN13" i="2"/>
  <c r="GO13" i="2"/>
  <c r="GP13" i="2"/>
  <c r="GQ13" i="2"/>
  <c r="GR13" i="2"/>
  <c r="GS13" i="2"/>
  <c r="GT13" i="2"/>
  <c r="GU13" i="2"/>
  <c r="GV13" i="2"/>
  <c r="GW13" i="2"/>
  <c r="C14" i="2"/>
  <c r="D14" i="2"/>
  <c r="E14" i="2"/>
  <c r="S14" i="2"/>
  <c r="T14" i="2"/>
  <c r="U14" i="2"/>
  <c r="V14" i="2"/>
  <c r="W14" i="2"/>
  <c r="X14" i="2"/>
  <c r="Y14" i="2"/>
  <c r="Z14" i="2"/>
  <c r="AA14" i="2"/>
  <c r="AB14" i="2"/>
  <c r="AD14" i="2"/>
  <c r="AE14" i="2"/>
  <c r="AF14" i="2"/>
  <c r="AG14" i="2"/>
  <c r="AH14" i="2"/>
  <c r="AJ14" i="2"/>
  <c r="AK14" i="2"/>
  <c r="AL14" i="2"/>
  <c r="AM14" i="2"/>
  <c r="AN14" i="2"/>
  <c r="AO14" i="2"/>
  <c r="AP14" i="2"/>
  <c r="AQ14" i="2"/>
  <c r="AR14" i="2"/>
  <c r="AS14" i="2"/>
  <c r="AT14" i="2"/>
  <c r="AU14" i="2"/>
  <c r="AW14" i="2"/>
  <c r="AX14" i="2"/>
  <c r="AY14" i="2"/>
  <c r="AZ14" i="2"/>
  <c r="BB14" i="2"/>
  <c r="BC14" i="2"/>
  <c r="BE14" i="2"/>
  <c r="BF14" i="2"/>
  <c r="BH14" i="2"/>
  <c r="BI14" i="2"/>
  <c r="BK14" i="2"/>
  <c r="CS14" i="2"/>
  <c r="CT14" i="2"/>
  <c r="CU14" i="2"/>
  <c r="CV14" i="2"/>
  <c r="CW14" i="2"/>
  <c r="CX14" i="2"/>
  <c r="CY14" i="2"/>
  <c r="DD14" i="2"/>
  <c r="DE14" i="2"/>
  <c r="DL14" i="2"/>
  <c r="DQ14" i="2"/>
  <c r="DS14" i="2"/>
  <c r="DU14" i="2"/>
  <c r="DV14" i="2"/>
  <c r="DW14" i="2"/>
  <c r="DX14" i="2"/>
  <c r="DY14" i="2"/>
  <c r="DZ14" i="2"/>
  <c r="FE14" i="2"/>
  <c r="FF14" i="2"/>
  <c r="FG14" i="2"/>
  <c r="FH14" i="2"/>
  <c r="FI14" i="2"/>
  <c r="FJ14" i="2"/>
  <c r="FK14" i="2"/>
  <c r="FL14" i="2"/>
  <c r="FP14" i="2"/>
  <c r="FQ14" i="2"/>
  <c r="FS14" i="2"/>
  <c r="FT14" i="2"/>
  <c r="FV14" i="2"/>
  <c r="FW14" i="2"/>
  <c r="FX14" i="2"/>
  <c r="FY14" i="2"/>
  <c r="FZ14" i="2"/>
  <c r="GA14" i="2"/>
  <c r="GB14" i="2"/>
  <c r="GC14" i="2"/>
  <c r="GE14" i="2"/>
  <c r="GF14" i="2"/>
  <c r="GG14" i="2"/>
  <c r="GH14" i="2"/>
  <c r="GI14" i="2"/>
  <c r="GJ14" i="2"/>
  <c r="GK14" i="2"/>
  <c r="GL14" i="2"/>
  <c r="GM14" i="2"/>
  <c r="GN14" i="2"/>
  <c r="GO14" i="2"/>
  <c r="GP14" i="2"/>
  <c r="GQ14" i="2"/>
  <c r="GR14" i="2"/>
  <c r="GS14" i="2"/>
  <c r="GT14" i="2"/>
  <c r="GU14" i="2"/>
  <c r="GV14" i="2"/>
  <c r="GW14" i="2"/>
  <c r="C15" i="2"/>
  <c r="D15" i="2"/>
  <c r="E15" i="2"/>
  <c r="S15" i="2"/>
  <c r="T15" i="2"/>
  <c r="U15" i="2"/>
  <c r="V15" i="2"/>
  <c r="W15" i="2"/>
  <c r="X15" i="2"/>
  <c r="Y15" i="2"/>
  <c r="Z15" i="2"/>
  <c r="AA15" i="2"/>
  <c r="AB15" i="2"/>
  <c r="AD15" i="2"/>
  <c r="AE15" i="2"/>
  <c r="AF15" i="2"/>
  <c r="AG15" i="2"/>
  <c r="AH15" i="2"/>
  <c r="AJ15" i="2"/>
  <c r="AK15" i="2"/>
  <c r="AL15" i="2"/>
  <c r="AM15" i="2"/>
  <c r="AN15" i="2"/>
  <c r="AO15" i="2"/>
  <c r="AP15" i="2"/>
  <c r="AQ15" i="2"/>
  <c r="AR15" i="2"/>
  <c r="AS15" i="2"/>
  <c r="AT15" i="2"/>
  <c r="AU15" i="2"/>
  <c r="AW15" i="2"/>
  <c r="AX15" i="2"/>
  <c r="AY15" i="2"/>
  <c r="AZ15" i="2"/>
  <c r="BB15" i="2"/>
  <c r="BC15" i="2"/>
  <c r="BE15" i="2"/>
  <c r="BF15" i="2"/>
  <c r="BH15" i="2"/>
  <c r="BI15" i="2"/>
  <c r="BK15" i="2"/>
  <c r="CS15" i="2"/>
  <c r="CT15" i="2"/>
  <c r="CU15" i="2"/>
  <c r="CV15" i="2"/>
  <c r="CW15" i="2"/>
  <c r="CX15" i="2"/>
  <c r="CY15" i="2"/>
  <c r="DD15" i="2"/>
  <c r="DE15" i="2"/>
  <c r="DL15" i="2"/>
  <c r="DQ15" i="2"/>
  <c r="DS15" i="2"/>
  <c r="DU15" i="2"/>
  <c r="DV15" i="2"/>
  <c r="DW15" i="2"/>
  <c r="DX15" i="2"/>
  <c r="DY15" i="2"/>
  <c r="DZ15" i="2"/>
  <c r="FE15" i="2"/>
  <c r="FF15" i="2"/>
  <c r="FG15" i="2"/>
  <c r="FH15" i="2"/>
  <c r="FI15" i="2"/>
  <c r="FJ15" i="2"/>
  <c r="FK15" i="2"/>
  <c r="FL15" i="2"/>
  <c r="FP15" i="2"/>
  <c r="FQ15" i="2"/>
  <c r="FS15" i="2"/>
  <c r="FT15" i="2"/>
  <c r="FV15" i="2"/>
  <c r="FW15" i="2"/>
  <c r="FX15" i="2"/>
  <c r="FY15" i="2"/>
  <c r="FZ15" i="2"/>
  <c r="GA15" i="2"/>
  <c r="GB15" i="2"/>
  <c r="GC15" i="2"/>
  <c r="GE15" i="2"/>
  <c r="GF15" i="2"/>
  <c r="GG15" i="2"/>
  <c r="GH15" i="2"/>
  <c r="GI15" i="2"/>
  <c r="GJ15" i="2"/>
  <c r="GK15" i="2"/>
  <c r="GL15" i="2"/>
  <c r="GM15" i="2"/>
  <c r="GN15" i="2"/>
  <c r="GO15" i="2"/>
  <c r="GP15" i="2"/>
  <c r="GQ15" i="2"/>
  <c r="GR15" i="2"/>
  <c r="GS15" i="2"/>
  <c r="GT15" i="2"/>
  <c r="GU15" i="2"/>
  <c r="GV15" i="2"/>
  <c r="GW15" i="2"/>
  <c r="C16" i="2"/>
  <c r="D16" i="2"/>
  <c r="E16" i="2"/>
  <c r="S16" i="2"/>
  <c r="T16" i="2"/>
  <c r="U16" i="2"/>
  <c r="V16" i="2"/>
  <c r="W16" i="2"/>
  <c r="X16" i="2"/>
  <c r="Y16" i="2"/>
  <c r="Z16" i="2"/>
  <c r="AA16" i="2"/>
  <c r="AB16" i="2"/>
  <c r="AD16" i="2"/>
  <c r="AE16" i="2"/>
  <c r="AF16" i="2"/>
  <c r="AG16" i="2"/>
  <c r="AH16" i="2"/>
  <c r="AJ16" i="2"/>
  <c r="AK16" i="2"/>
  <c r="AL16" i="2"/>
  <c r="AM16" i="2"/>
  <c r="AN16" i="2"/>
  <c r="AO16" i="2"/>
  <c r="AP16" i="2"/>
  <c r="AQ16" i="2"/>
  <c r="AR16" i="2"/>
  <c r="AS16" i="2"/>
  <c r="AT16" i="2"/>
  <c r="AU16" i="2"/>
  <c r="AW16" i="2"/>
  <c r="AX16" i="2"/>
  <c r="AY16" i="2"/>
  <c r="AZ16" i="2"/>
  <c r="BB16" i="2"/>
  <c r="BC16" i="2"/>
  <c r="BE16" i="2"/>
  <c r="BF16" i="2"/>
  <c r="BH16" i="2"/>
  <c r="BI16" i="2"/>
  <c r="BK16" i="2"/>
  <c r="CS16" i="2"/>
  <c r="CT16" i="2"/>
  <c r="CU16" i="2"/>
  <c r="CV16" i="2"/>
  <c r="CW16" i="2"/>
  <c r="CX16" i="2"/>
  <c r="CY16" i="2"/>
  <c r="DD16" i="2"/>
  <c r="DE16" i="2"/>
  <c r="DL16" i="2"/>
  <c r="DQ16" i="2"/>
  <c r="DS16" i="2"/>
  <c r="DU16" i="2"/>
  <c r="DV16" i="2"/>
  <c r="DW16" i="2"/>
  <c r="DX16" i="2"/>
  <c r="DY16" i="2"/>
  <c r="DZ16" i="2"/>
  <c r="FE16" i="2"/>
  <c r="FF16" i="2"/>
  <c r="FG16" i="2"/>
  <c r="FH16" i="2"/>
  <c r="FI16" i="2"/>
  <c r="FJ16" i="2"/>
  <c r="FK16" i="2"/>
  <c r="FL16" i="2"/>
  <c r="FP16" i="2"/>
  <c r="FQ16" i="2"/>
  <c r="FS16" i="2"/>
  <c r="FT16" i="2"/>
  <c r="FV16" i="2"/>
  <c r="FW16" i="2"/>
  <c r="FX16" i="2"/>
  <c r="FY16" i="2"/>
  <c r="FZ16" i="2"/>
  <c r="GA16" i="2"/>
  <c r="GB16" i="2"/>
  <c r="GC16" i="2"/>
  <c r="GE16" i="2"/>
  <c r="GF16" i="2"/>
  <c r="GG16" i="2"/>
  <c r="GH16" i="2"/>
  <c r="GI16" i="2"/>
  <c r="GJ16" i="2"/>
  <c r="GK16" i="2"/>
  <c r="GL16" i="2"/>
  <c r="GM16" i="2"/>
  <c r="GN16" i="2"/>
  <c r="GO16" i="2"/>
  <c r="GP16" i="2"/>
  <c r="GQ16" i="2"/>
  <c r="GR16" i="2"/>
  <c r="GS16" i="2"/>
  <c r="GT16" i="2"/>
  <c r="GU16" i="2"/>
  <c r="GV16" i="2"/>
  <c r="GW16" i="2"/>
  <c r="C17" i="2"/>
  <c r="D17" i="2"/>
  <c r="E17" i="2"/>
  <c r="S17" i="2"/>
  <c r="T17" i="2"/>
  <c r="U17" i="2"/>
  <c r="V17" i="2"/>
  <c r="W17" i="2"/>
  <c r="X17" i="2"/>
  <c r="Y17" i="2"/>
  <c r="Z17" i="2"/>
  <c r="AA17" i="2"/>
  <c r="AB17" i="2"/>
  <c r="AD17" i="2"/>
  <c r="AE17" i="2"/>
  <c r="AF17" i="2"/>
  <c r="AG17" i="2"/>
  <c r="AH17" i="2"/>
  <c r="AJ17" i="2"/>
  <c r="AK17" i="2"/>
  <c r="AL17" i="2"/>
  <c r="AM17" i="2"/>
  <c r="AN17" i="2"/>
  <c r="AO17" i="2"/>
  <c r="AP17" i="2"/>
  <c r="AQ17" i="2"/>
  <c r="AR17" i="2"/>
  <c r="AS17" i="2"/>
  <c r="AT17" i="2"/>
  <c r="AU17" i="2"/>
  <c r="AW17" i="2"/>
  <c r="AX17" i="2"/>
  <c r="AY17" i="2"/>
  <c r="AZ17" i="2"/>
  <c r="BB17" i="2"/>
  <c r="BC17" i="2"/>
  <c r="BE17" i="2"/>
  <c r="BF17" i="2"/>
  <c r="BH17" i="2"/>
  <c r="BI17" i="2"/>
  <c r="BK17" i="2"/>
  <c r="CS17" i="2"/>
  <c r="CT17" i="2"/>
  <c r="CU17" i="2"/>
  <c r="CV17" i="2"/>
  <c r="CW17" i="2"/>
  <c r="CX17" i="2"/>
  <c r="CY17" i="2"/>
  <c r="DD17" i="2"/>
  <c r="DE17" i="2"/>
  <c r="DL17" i="2"/>
  <c r="DQ17" i="2"/>
  <c r="DS17" i="2"/>
  <c r="DU17" i="2"/>
  <c r="DV17" i="2"/>
  <c r="DW17" i="2"/>
  <c r="DX17" i="2"/>
  <c r="DY17" i="2"/>
  <c r="DZ17" i="2"/>
  <c r="FE17" i="2"/>
  <c r="FF17" i="2"/>
  <c r="FG17" i="2"/>
  <c r="FH17" i="2"/>
  <c r="FI17" i="2"/>
  <c r="FJ17" i="2"/>
  <c r="FK17" i="2"/>
  <c r="FL17" i="2"/>
  <c r="FP17" i="2"/>
  <c r="FQ17" i="2"/>
  <c r="FS17" i="2"/>
  <c r="FT17" i="2"/>
  <c r="FV17" i="2"/>
  <c r="FW17" i="2"/>
  <c r="FX17" i="2"/>
  <c r="FY17" i="2"/>
  <c r="FZ17" i="2"/>
  <c r="GA17" i="2"/>
  <c r="GB17" i="2"/>
  <c r="GC17" i="2"/>
  <c r="GE17" i="2"/>
  <c r="GF17" i="2"/>
  <c r="GG17" i="2"/>
  <c r="GH17" i="2"/>
  <c r="GI17" i="2"/>
  <c r="GJ17" i="2"/>
  <c r="GK17" i="2"/>
  <c r="GL17" i="2"/>
  <c r="GM17" i="2"/>
  <c r="GN17" i="2"/>
  <c r="GO17" i="2"/>
  <c r="GP17" i="2"/>
  <c r="GQ17" i="2"/>
  <c r="GR17" i="2"/>
  <c r="GS17" i="2"/>
  <c r="GT17" i="2"/>
  <c r="GU17" i="2"/>
  <c r="GV17" i="2"/>
  <c r="GW17" i="2"/>
  <c r="C18" i="2"/>
  <c r="D18" i="2"/>
  <c r="E18" i="2"/>
  <c r="S18" i="2"/>
  <c r="T18" i="2"/>
  <c r="U18" i="2"/>
  <c r="V18" i="2"/>
  <c r="W18" i="2"/>
  <c r="X18" i="2"/>
  <c r="Y18" i="2"/>
  <c r="Z18" i="2"/>
  <c r="AA18" i="2"/>
  <c r="AB18" i="2"/>
  <c r="AD18" i="2"/>
  <c r="AE18" i="2"/>
  <c r="AF18" i="2"/>
  <c r="AG18" i="2"/>
  <c r="AH18" i="2"/>
  <c r="AJ18" i="2"/>
  <c r="AK18" i="2"/>
  <c r="AL18" i="2"/>
  <c r="AM18" i="2"/>
  <c r="AN18" i="2"/>
  <c r="AO18" i="2"/>
  <c r="AP18" i="2"/>
  <c r="AQ18" i="2"/>
  <c r="AR18" i="2"/>
  <c r="AS18" i="2"/>
  <c r="AT18" i="2"/>
  <c r="AU18" i="2"/>
  <c r="AW18" i="2"/>
  <c r="AX18" i="2"/>
  <c r="AY18" i="2"/>
  <c r="AZ18" i="2"/>
  <c r="BB18" i="2"/>
  <c r="BC18" i="2"/>
  <c r="BE18" i="2"/>
  <c r="BF18" i="2"/>
  <c r="BH18" i="2"/>
  <c r="BI18" i="2"/>
  <c r="BK18" i="2"/>
  <c r="CS18" i="2"/>
  <c r="CT18" i="2"/>
  <c r="CU18" i="2"/>
  <c r="CV18" i="2"/>
  <c r="CW18" i="2"/>
  <c r="CX18" i="2"/>
  <c r="CY18" i="2"/>
  <c r="DD18" i="2"/>
  <c r="DE18" i="2"/>
  <c r="DL18" i="2"/>
  <c r="DQ18" i="2"/>
  <c r="DS18" i="2"/>
  <c r="DU18" i="2"/>
  <c r="DV18" i="2"/>
  <c r="DW18" i="2"/>
  <c r="DX18" i="2"/>
  <c r="DY18" i="2"/>
  <c r="DZ18" i="2"/>
  <c r="FE18" i="2"/>
  <c r="FF18" i="2"/>
  <c r="FG18" i="2"/>
  <c r="FH18" i="2"/>
  <c r="FI18" i="2"/>
  <c r="FJ18" i="2"/>
  <c r="FK18" i="2"/>
  <c r="FL18" i="2"/>
  <c r="FP18" i="2"/>
  <c r="FQ18" i="2"/>
  <c r="FS18" i="2"/>
  <c r="FT18" i="2"/>
  <c r="FV18" i="2"/>
  <c r="FW18" i="2"/>
  <c r="FX18" i="2"/>
  <c r="FY18" i="2"/>
  <c r="FZ18" i="2"/>
  <c r="GA18" i="2"/>
  <c r="GB18" i="2"/>
  <c r="GC18" i="2"/>
  <c r="GE18" i="2"/>
  <c r="GF18" i="2"/>
  <c r="GG18" i="2"/>
  <c r="GH18" i="2"/>
  <c r="GI18" i="2"/>
  <c r="GJ18" i="2"/>
  <c r="GK18" i="2"/>
  <c r="GL18" i="2"/>
  <c r="GM18" i="2"/>
  <c r="GN18" i="2"/>
  <c r="GO18" i="2"/>
  <c r="GP18" i="2"/>
  <c r="GQ18" i="2"/>
  <c r="GR18" i="2"/>
  <c r="GS18" i="2"/>
  <c r="GT18" i="2"/>
  <c r="GU18" i="2"/>
  <c r="GV18" i="2"/>
  <c r="GW18" i="2"/>
  <c r="C19" i="2"/>
  <c r="D19" i="2"/>
  <c r="E19" i="2"/>
  <c r="S19" i="2"/>
  <c r="T19" i="2"/>
  <c r="U19" i="2"/>
  <c r="V19" i="2"/>
  <c r="W19" i="2"/>
  <c r="X19" i="2"/>
  <c r="Y19" i="2"/>
  <c r="Z19" i="2"/>
  <c r="AA19" i="2"/>
  <c r="AB19" i="2"/>
  <c r="AD19" i="2"/>
  <c r="AE19" i="2"/>
  <c r="AF19" i="2"/>
  <c r="AG19" i="2"/>
  <c r="AH19" i="2"/>
  <c r="AJ19" i="2"/>
  <c r="AK19" i="2"/>
  <c r="AL19" i="2"/>
  <c r="AM19" i="2"/>
  <c r="AN19" i="2"/>
  <c r="AO19" i="2"/>
  <c r="AP19" i="2"/>
  <c r="AQ19" i="2"/>
  <c r="AR19" i="2"/>
  <c r="AS19" i="2"/>
  <c r="AT19" i="2"/>
  <c r="AU19" i="2"/>
  <c r="AW19" i="2"/>
  <c r="AX19" i="2"/>
  <c r="AY19" i="2"/>
  <c r="AZ19" i="2"/>
  <c r="BB19" i="2"/>
  <c r="BC19" i="2"/>
  <c r="BE19" i="2"/>
  <c r="BF19" i="2"/>
  <c r="BH19" i="2"/>
  <c r="BI19" i="2"/>
  <c r="BK19" i="2"/>
  <c r="CS19" i="2"/>
  <c r="CT19" i="2"/>
  <c r="CU19" i="2"/>
  <c r="CV19" i="2"/>
  <c r="CW19" i="2"/>
  <c r="CX19" i="2"/>
  <c r="CY19" i="2"/>
  <c r="DD19" i="2"/>
  <c r="DE19" i="2"/>
  <c r="DL19" i="2"/>
  <c r="DQ19" i="2"/>
  <c r="DS19" i="2"/>
  <c r="DU19" i="2"/>
  <c r="DV19" i="2"/>
  <c r="DW19" i="2"/>
  <c r="DX19" i="2"/>
  <c r="DY19" i="2"/>
  <c r="DZ19" i="2"/>
  <c r="FE19" i="2"/>
  <c r="FF19" i="2"/>
  <c r="FG19" i="2"/>
  <c r="FH19" i="2"/>
  <c r="FI19" i="2"/>
  <c r="FJ19" i="2"/>
  <c r="FK19" i="2"/>
  <c r="FL19" i="2"/>
  <c r="FP19" i="2"/>
  <c r="FQ19" i="2"/>
  <c r="FS19" i="2"/>
  <c r="FT19" i="2"/>
  <c r="FV19" i="2"/>
  <c r="FW19" i="2"/>
  <c r="FX19" i="2"/>
  <c r="FY19" i="2"/>
  <c r="FZ19" i="2"/>
  <c r="GA19" i="2"/>
  <c r="GB19" i="2"/>
  <c r="GC19" i="2"/>
  <c r="GE19" i="2"/>
  <c r="GF19" i="2"/>
  <c r="GG19" i="2"/>
  <c r="GH19" i="2"/>
  <c r="GI19" i="2"/>
  <c r="GJ19" i="2"/>
  <c r="GK19" i="2"/>
  <c r="GL19" i="2"/>
  <c r="GM19" i="2"/>
  <c r="GN19" i="2"/>
  <c r="GO19" i="2"/>
  <c r="GP19" i="2"/>
  <c r="GQ19" i="2"/>
  <c r="GR19" i="2"/>
  <c r="GS19" i="2"/>
  <c r="GT19" i="2"/>
  <c r="GU19" i="2"/>
  <c r="GV19" i="2"/>
  <c r="GW19" i="2"/>
  <c r="C20" i="2"/>
  <c r="D20" i="2"/>
  <c r="E20" i="2"/>
  <c r="S20" i="2"/>
  <c r="T20" i="2"/>
  <c r="U20" i="2"/>
  <c r="V20" i="2"/>
  <c r="W20" i="2"/>
  <c r="X20" i="2"/>
  <c r="Y20" i="2"/>
  <c r="Z20" i="2"/>
  <c r="AA20" i="2"/>
  <c r="AB20" i="2"/>
  <c r="AD20" i="2"/>
  <c r="AE20" i="2"/>
  <c r="AF20" i="2"/>
  <c r="AG20" i="2"/>
  <c r="AH20" i="2"/>
  <c r="AJ20" i="2"/>
  <c r="AK20" i="2"/>
  <c r="AL20" i="2"/>
  <c r="AM20" i="2"/>
  <c r="AN20" i="2"/>
  <c r="AO20" i="2"/>
  <c r="AP20" i="2"/>
  <c r="AQ20" i="2"/>
  <c r="AS20" i="2"/>
  <c r="AT20" i="2"/>
  <c r="AU20" i="2"/>
  <c r="AW20" i="2"/>
  <c r="AX20" i="2"/>
  <c r="AY20" i="2"/>
  <c r="AZ20" i="2"/>
  <c r="BB20" i="2"/>
  <c r="BC20" i="2"/>
  <c r="BE20" i="2"/>
  <c r="BF20" i="2"/>
  <c r="BH20" i="2"/>
  <c r="BI20" i="2"/>
  <c r="BK20" i="2"/>
  <c r="CS20" i="2"/>
  <c r="CT20" i="2"/>
  <c r="CU20" i="2"/>
  <c r="CV20" i="2"/>
  <c r="CW20" i="2"/>
  <c r="CX20" i="2"/>
  <c r="CY20" i="2"/>
  <c r="DD20" i="2"/>
  <c r="DE20" i="2"/>
  <c r="DL20" i="2"/>
  <c r="DQ20" i="2"/>
  <c r="DS20" i="2"/>
  <c r="DU20" i="2"/>
  <c r="DV20" i="2"/>
  <c r="DW20" i="2"/>
  <c r="DX20" i="2"/>
  <c r="DY20" i="2"/>
  <c r="DZ20" i="2"/>
  <c r="FE20" i="2"/>
  <c r="FF20" i="2"/>
  <c r="FG20" i="2"/>
  <c r="FH20" i="2"/>
  <c r="FI20" i="2"/>
  <c r="FJ20" i="2"/>
  <c r="FK20" i="2"/>
  <c r="FL20" i="2"/>
  <c r="FP20" i="2"/>
  <c r="FQ20" i="2"/>
  <c r="FS20" i="2"/>
  <c r="FT20" i="2"/>
  <c r="FV20" i="2"/>
  <c r="FW20" i="2"/>
  <c r="FX20" i="2"/>
  <c r="FY20" i="2"/>
  <c r="FZ20" i="2"/>
  <c r="GA20" i="2"/>
  <c r="GB20" i="2"/>
  <c r="GC20" i="2"/>
  <c r="GE20" i="2"/>
  <c r="GF20" i="2"/>
  <c r="GG20" i="2"/>
  <c r="GH20" i="2"/>
  <c r="GI20" i="2"/>
  <c r="GJ20" i="2"/>
  <c r="GK20" i="2"/>
  <c r="GL20" i="2"/>
  <c r="GM20" i="2"/>
  <c r="GN20" i="2"/>
  <c r="GO20" i="2"/>
  <c r="GP20" i="2"/>
  <c r="GQ20" i="2"/>
  <c r="GR20" i="2"/>
  <c r="GS20" i="2"/>
  <c r="GT20" i="2"/>
  <c r="GU20" i="2"/>
  <c r="GV20" i="2"/>
  <c r="GW20" i="2"/>
  <c r="C21" i="2"/>
  <c r="D21" i="2"/>
  <c r="E21" i="2"/>
  <c r="S21" i="2"/>
  <c r="T21" i="2"/>
  <c r="U21" i="2"/>
  <c r="V21" i="2"/>
  <c r="W21" i="2"/>
  <c r="X21" i="2"/>
  <c r="Y21" i="2"/>
  <c r="Z21" i="2"/>
  <c r="AA21" i="2"/>
  <c r="AB21" i="2"/>
  <c r="AD21" i="2"/>
  <c r="AE21" i="2"/>
  <c r="AF21" i="2"/>
  <c r="AG21" i="2"/>
  <c r="AH21" i="2"/>
  <c r="AJ21" i="2"/>
  <c r="AK21" i="2"/>
  <c r="AL21" i="2"/>
  <c r="AM21" i="2"/>
  <c r="AN21" i="2"/>
  <c r="AO21" i="2"/>
  <c r="AP21" i="2"/>
  <c r="AQ21" i="2"/>
  <c r="AS21" i="2"/>
  <c r="AT21" i="2"/>
  <c r="AU21" i="2"/>
  <c r="AW21" i="2"/>
  <c r="AX21" i="2"/>
  <c r="AY21" i="2"/>
  <c r="AZ21" i="2"/>
  <c r="BB21" i="2"/>
  <c r="BC21" i="2"/>
  <c r="BE21" i="2"/>
  <c r="BF21" i="2"/>
  <c r="BH21" i="2"/>
  <c r="BI21" i="2"/>
  <c r="BK21" i="2"/>
  <c r="CS21" i="2"/>
  <c r="CT21" i="2"/>
  <c r="CU21" i="2"/>
  <c r="CV21" i="2"/>
  <c r="CW21" i="2"/>
  <c r="CX21" i="2"/>
  <c r="CY21" i="2"/>
  <c r="DD21" i="2"/>
  <c r="DE21" i="2"/>
  <c r="DL21" i="2"/>
  <c r="DQ21" i="2"/>
  <c r="DS21" i="2"/>
  <c r="DU21" i="2"/>
  <c r="DV21" i="2"/>
  <c r="DW21" i="2"/>
  <c r="DX21" i="2"/>
  <c r="DY21" i="2"/>
  <c r="DZ21" i="2"/>
  <c r="FE21" i="2"/>
  <c r="FF21" i="2"/>
  <c r="FG21" i="2"/>
  <c r="FH21" i="2"/>
  <c r="FI21" i="2"/>
  <c r="FJ21" i="2"/>
  <c r="FK21" i="2"/>
  <c r="FL21" i="2"/>
  <c r="FP21" i="2"/>
  <c r="FQ21" i="2"/>
  <c r="FS21" i="2"/>
  <c r="FT21" i="2"/>
  <c r="FV21" i="2"/>
  <c r="FW21" i="2"/>
  <c r="FX21" i="2"/>
  <c r="FY21" i="2"/>
  <c r="FZ21" i="2"/>
  <c r="GA21" i="2"/>
  <c r="GB21" i="2"/>
  <c r="GC21" i="2"/>
  <c r="GE21" i="2"/>
  <c r="GF21" i="2"/>
  <c r="GG21" i="2"/>
  <c r="GH21" i="2"/>
  <c r="GI21" i="2"/>
  <c r="GJ21" i="2"/>
  <c r="GK21" i="2"/>
  <c r="GL21" i="2"/>
  <c r="GM21" i="2"/>
  <c r="GN21" i="2"/>
  <c r="GO21" i="2"/>
  <c r="GP21" i="2"/>
  <c r="GQ21" i="2"/>
  <c r="GR21" i="2"/>
  <c r="GS21" i="2"/>
  <c r="GT21" i="2"/>
  <c r="GU21" i="2"/>
  <c r="GV21" i="2"/>
  <c r="GW21" i="2"/>
  <c r="C22" i="2"/>
  <c r="D22" i="2"/>
  <c r="E22" i="2"/>
  <c r="S22" i="2"/>
  <c r="T22" i="2"/>
  <c r="U22" i="2"/>
  <c r="V22" i="2"/>
  <c r="W22" i="2"/>
  <c r="X22" i="2"/>
  <c r="Y22" i="2"/>
  <c r="Z22" i="2"/>
  <c r="AA22" i="2"/>
  <c r="AB22" i="2"/>
  <c r="AD22" i="2"/>
  <c r="AE22" i="2"/>
  <c r="AF22" i="2"/>
  <c r="AG22" i="2"/>
  <c r="AH22" i="2"/>
  <c r="AJ22" i="2"/>
  <c r="AK22" i="2"/>
  <c r="AL22" i="2"/>
  <c r="AM22" i="2"/>
  <c r="AN22" i="2"/>
  <c r="AO22" i="2"/>
  <c r="AP22" i="2"/>
  <c r="AQ22" i="2"/>
  <c r="AS22" i="2"/>
  <c r="AT22" i="2"/>
  <c r="AU22" i="2"/>
  <c r="AW22" i="2"/>
  <c r="AX22" i="2"/>
  <c r="AY22" i="2"/>
  <c r="AZ22" i="2"/>
  <c r="BB22" i="2"/>
  <c r="BC22" i="2"/>
  <c r="BE22" i="2"/>
  <c r="BF22" i="2"/>
  <c r="BH22" i="2"/>
  <c r="BI22" i="2"/>
  <c r="BK22" i="2"/>
  <c r="CS22" i="2"/>
  <c r="CT22" i="2"/>
  <c r="CU22" i="2"/>
  <c r="CV22" i="2"/>
  <c r="CW22" i="2"/>
  <c r="CX22" i="2"/>
  <c r="CY22" i="2"/>
  <c r="DD22" i="2"/>
  <c r="DE22" i="2"/>
  <c r="DL22" i="2"/>
  <c r="DQ22" i="2"/>
  <c r="DS22" i="2"/>
  <c r="DU22" i="2"/>
  <c r="DV22" i="2"/>
  <c r="DW22" i="2"/>
  <c r="DX22" i="2"/>
  <c r="DY22" i="2"/>
  <c r="DZ22" i="2"/>
  <c r="FE22" i="2"/>
  <c r="FF22" i="2"/>
  <c r="FG22" i="2"/>
  <c r="FH22" i="2"/>
  <c r="FI22" i="2"/>
  <c r="FJ22" i="2"/>
  <c r="FK22" i="2"/>
  <c r="FL22" i="2"/>
  <c r="FP22" i="2"/>
  <c r="FQ22" i="2"/>
  <c r="FS22" i="2"/>
  <c r="FT22" i="2"/>
  <c r="FV22" i="2"/>
  <c r="FW22" i="2"/>
  <c r="FX22" i="2"/>
  <c r="FY22" i="2"/>
  <c r="FZ22" i="2"/>
  <c r="GA22" i="2"/>
  <c r="GB22" i="2"/>
  <c r="GC22" i="2"/>
  <c r="GE22" i="2"/>
  <c r="GF22" i="2"/>
  <c r="GG22" i="2"/>
  <c r="GH22" i="2"/>
  <c r="GI22" i="2"/>
  <c r="GJ22" i="2"/>
  <c r="GK22" i="2"/>
  <c r="GL22" i="2"/>
  <c r="GM22" i="2"/>
  <c r="GN22" i="2"/>
  <c r="GO22" i="2"/>
  <c r="GP22" i="2"/>
  <c r="GQ22" i="2"/>
  <c r="GR22" i="2"/>
  <c r="GS22" i="2"/>
  <c r="GT22" i="2"/>
  <c r="GU22" i="2"/>
  <c r="GV22" i="2"/>
  <c r="GW22" i="2"/>
  <c r="C23" i="2"/>
  <c r="D23" i="2"/>
  <c r="E23" i="2"/>
  <c r="S23" i="2"/>
  <c r="T23" i="2"/>
  <c r="U23" i="2"/>
  <c r="V23" i="2"/>
  <c r="W23" i="2"/>
  <c r="X23" i="2"/>
  <c r="Y23" i="2"/>
  <c r="Z23" i="2"/>
  <c r="AA23" i="2"/>
  <c r="AB23" i="2"/>
  <c r="AD23" i="2"/>
  <c r="AE23" i="2"/>
  <c r="AF23" i="2"/>
  <c r="AG23" i="2"/>
  <c r="AH23" i="2"/>
  <c r="AJ23" i="2"/>
  <c r="AK23" i="2"/>
  <c r="AL23" i="2"/>
  <c r="AM23" i="2"/>
  <c r="AN23" i="2"/>
  <c r="AO23" i="2"/>
  <c r="AP23" i="2"/>
  <c r="AQ23" i="2"/>
  <c r="AS23" i="2"/>
  <c r="AT23" i="2"/>
  <c r="AU23" i="2"/>
  <c r="AW23" i="2"/>
  <c r="AX23" i="2"/>
  <c r="AY23" i="2"/>
  <c r="AZ23" i="2"/>
  <c r="BB23" i="2"/>
  <c r="BC23" i="2"/>
  <c r="BE23" i="2"/>
  <c r="BF23" i="2"/>
  <c r="BH23" i="2"/>
  <c r="BI23" i="2"/>
  <c r="BK23" i="2"/>
  <c r="CS23" i="2"/>
  <c r="CT23" i="2"/>
  <c r="CU23" i="2"/>
  <c r="CV23" i="2"/>
  <c r="CW23" i="2"/>
  <c r="CX23" i="2"/>
  <c r="CY23" i="2"/>
  <c r="DD23" i="2"/>
  <c r="DE23" i="2"/>
  <c r="DL23" i="2"/>
  <c r="DQ23" i="2"/>
  <c r="DS23" i="2"/>
  <c r="DU23" i="2"/>
  <c r="DV23" i="2"/>
  <c r="DW23" i="2"/>
  <c r="DX23" i="2"/>
  <c r="DY23" i="2"/>
  <c r="DZ23" i="2"/>
  <c r="FE23" i="2"/>
  <c r="FF23" i="2"/>
  <c r="FG23" i="2"/>
  <c r="FH23" i="2"/>
  <c r="FI23" i="2"/>
  <c r="FJ23" i="2"/>
  <c r="FK23" i="2"/>
  <c r="FL23" i="2"/>
  <c r="FP23" i="2"/>
  <c r="FQ23" i="2"/>
  <c r="FS23" i="2"/>
  <c r="FT23" i="2"/>
  <c r="FV23" i="2"/>
  <c r="FW23" i="2"/>
  <c r="FX23" i="2"/>
  <c r="FY23" i="2"/>
  <c r="FZ23" i="2"/>
  <c r="GA23" i="2"/>
  <c r="GB23" i="2"/>
  <c r="GC23" i="2"/>
  <c r="GE23" i="2"/>
  <c r="GF23" i="2"/>
  <c r="GG23" i="2"/>
  <c r="GH23" i="2"/>
  <c r="GI23" i="2"/>
  <c r="GJ23" i="2"/>
  <c r="GK23" i="2"/>
  <c r="GL23" i="2"/>
  <c r="GM23" i="2"/>
  <c r="GN23" i="2"/>
  <c r="GO23" i="2"/>
  <c r="GP23" i="2"/>
  <c r="GQ23" i="2"/>
  <c r="GR23" i="2"/>
  <c r="GS23" i="2"/>
  <c r="GT23" i="2"/>
  <c r="GU23" i="2"/>
  <c r="GV23" i="2"/>
  <c r="GW23" i="2"/>
  <c r="C24" i="2"/>
  <c r="D24" i="2"/>
  <c r="E24" i="2"/>
  <c r="S24" i="2"/>
  <c r="T24" i="2"/>
  <c r="U24" i="2"/>
  <c r="V24" i="2"/>
  <c r="W24" i="2"/>
  <c r="X24" i="2"/>
  <c r="Y24" i="2"/>
  <c r="Z24" i="2"/>
  <c r="AA24" i="2"/>
  <c r="AB24" i="2"/>
  <c r="AD24" i="2"/>
  <c r="AE24" i="2"/>
  <c r="AF24" i="2"/>
  <c r="AG24" i="2"/>
  <c r="AH24" i="2"/>
  <c r="AJ24" i="2"/>
  <c r="AK24" i="2"/>
  <c r="AL24" i="2"/>
  <c r="AM24" i="2"/>
  <c r="AN24" i="2"/>
  <c r="AO24" i="2"/>
  <c r="AP24" i="2"/>
  <c r="AQ24" i="2"/>
  <c r="AS24" i="2"/>
  <c r="AT24" i="2"/>
  <c r="AU24" i="2"/>
  <c r="AW24" i="2"/>
  <c r="AX24" i="2"/>
  <c r="AY24" i="2"/>
  <c r="AZ24" i="2"/>
  <c r="BB24" i="2"/>
  <c r="BC24" i="2"/>
  <c r="BE24" i="2"/>
  <c r="BF24" i="2"/>
  <c r="BH24" i="2"/>
  <c r="BI24" i="2"/>
  <c r="BK24" i="2"/>
  <c r="CS24" i="2"/>
  <c r="CT24" i="2"/>
  <c r="CU24" i="2"/>
  <c r="CV24" i="2"/>
  <c r="CW24" i="2"/>
  <c r="CX24" i="2"/>
  <c r="CY24" i="2"/>
  <c r="DD24" i="2"/>
  <c r="DE24" i="2"/>
  <c r="DL24" i="2"/>
  <c r="DQ24" i="2"/>
  <c r="DS24" i="2"/>
  <c r="DU24" i="2"/>
  <c r="DV24" i="2"/>
  <c r="DW24" i="2"/>
  <c r="DX24" i="2"/>
  <c r="DY24" i="2"/>
  <c r="DZ24" i="2"/>
  <c r="FE24" i="2"/>
  <c r="FF24" i="2"/>
  <c r="FG24" i="2"/>
  <c r="FH24" i="2"/>
  <c r="FI24" i="2"/>
  <c r="FJ24" i="2"/>
  <c r="FK24" i="2"/>
  <c r="FL24" i="2"/>
  <c r="FP24" i="2"/>
  <c r="FQ24" i="2"/>
  <c r="FS24" i="2"/>
  <c r="FT24" i="2"/>
  <c r="FV24" i="2"/>
  <c r="FW24" i="2"/>
  <c r="FX24" i="2"/>
  <c r="FY24" i="2"/>
  <c r="FZ24" i="2"/>
  <c r="GA24" i="2"/>
  <c r="GB24" i="2"/>
  <c r="GC24" i="2"/>
  <c r="GE24" i="2"/>
  <c r="GF24" i="2"/>
  <c r="GG24" i="2"/>
  <c r="GH24" i="2"/>
  <c r="GI24" i="2"/>
  <c r="GJ24" i="2"/>
  <c r="GK24" i="2"/>
  <c r="GL24" i="2"/>
  <c r="GM24" i="2"/>
  <c r="GN24" i="2"/>
  <c r="GO24" i="2"/>
  <c r="GP24" i="2"/>
  <c r="GQ24" i="2"/>
  <c r="GR24" i="2"/>
  <c r="GS24" i="2"/>
  <c r="GT24" i="2"/>
  <c r="GU24" i="2"/>
  <c r="GV24" i="2"/>
  <c r="GW24" i="2"/>
  <c r="C25" i="2"/>
  <c r="D25" i="2"/>
  <c r="E25" i="2"/>
  <c r="S25" i="2"/>
  <c r="T25" i="2"/>
  <c r="U25" i="2"/>
  <c r="V25" i="2"/>
  <c r="W25" i="2"/>
  <c r="X25" i="2"/>
  <c r="Y25" i="2"/>
  <c r="Z25" i="2"/>
  <c r="AA25" i="2"/>
  <c r="AB25" i="2"/>
  <c r="AD25" i="2"/>
  <c r="AE25" i="2"/>
  <c r="AF25" i="2"/>
  <c r="AG25" i="2"/>
  <c r="AH25" i="2"/>
  <c r="AJ25" i="2"/>
  <c r="AK25" i="2"/>
  <c r="AL25" i="2"/>
  <c r="AM25" i="2"/>
  <c r="AN25" i="2"/>
  <c r="AO25" i="2"/>
  <c r="AP25" i="2"/>
  <c r="AQ25" i="2"/>
  <c r="AS25" i="2"/>
  <c r="AT25" i="2"/>
  <c r="AU25" i="2"/>
  <c r="AW25" i="2"/>
  <c r="AX25" i="2"/>
  <c r="AY25" i="2"/>
  <c r="AZ25" i="2"/>
  <c r="BB25" i="2"/>
  <c r="BC25" i="2"/>
  <c r="BE25" i="2"/>
  <c r="BF25" i="2"/>
  <c r="BH25" i="2"/>
  <c r="BI25" i="2"/>
  <c r="BK25" i="2"/>
  <c r="CS25" i="2"/>
  <c r="CT25" i="2"/>
  <c r="CU25" i="2"/>
  <c r="CV25" i="2"/>
  <c r="CW25" i="2"/>
  <c r="CX25" i="2"/>
  <c r="CY25" i="2"/>
  <c r="DD25" i="2"/>
  <c r="DE25" i="2"/>
  <c r="DL25" i="2"/>
  <c r="DQ25" i="2"/>
  <c r="DS25" i="2"/>
  <c r="DU25" i="2"/>
  <c r="DV25" i="2"/>
  <c r="DW25" i="2"/>
  <c r="DX25" i="2"/>
  <c r="DY25" i="2"/>
  <c r="DZ25" i="2"/>
  <c r="FE25" i="2"/>
  <c r="FF25" i="2"/>
  <c r="FG25" i="2"/>
  <c r="FH25" i="2"/>
  <c r="FI25" i="2"/>
  <c r="FJ25" i="2"/>
  <c r="FK25" i="2"/>
  <c r="FL25" i="2"/>
  <c r="FP25" i="2"/>
  <c r="FQ25" i="2"/>
  <c r="FS25" i="2"/>
  <c r="FT25" i="2"/>
  <c r="FV25" i="2"/>
  <c r="FW25" i="2"/>
  <c r="FX25" i="2"/>
  <c r="FY25" i="2"/>
  <c r="FZ25" i="2"/>
  <c r="GA25" i="2"/>
  <c r="GB25" i="2"/>
  <c r="GC25" i="2"/>
  <c r="GE25" i="2"/>
  <c r="GF25" i="2"/>
  <c r="GG25" i="2"/>
  <c r="GH25" i="2"/>
  <c r="GI25" i="2"/>
  <c r="GJ25" i="2"/>
  <c r="GK25" i="2"/>
  <c r="GL25" i="2"/>
  <c r="GM25" i="2"/>
  <c r="GN25" i="2"/>
  <c r="GO25" i="2"/>
  <c r="GP25" i="2"/>
  <c r="GQ25" i="2"/>
  <c r="GR25" i="2"/>
  <c r="GS25" i="2"/>
  <c r="GT25" i="2"/>
  <c r="GU25" i="2"/>
  <c r="GV25" i="2"/>
  <c r="GW25" i="2"/>
  <c r="C26" i="2"/>
  <c r="D26" i="2"/>
  <c r="E26" i="2"/>
  <c r="S26" i="2"/>
  <c r="T26" i="2"/>
  <c r="U26" i="2"/>
  <c r="V26" i="2"/>
  <c r="W26" i="2"/>
  <c r="X26" i="2"/>
  <c r="Y26" i="2"/>
  <c r="Z26" i="2"/>
  <c r="AA26" i="2"/>
  <c r="AB26" i="2"/>
  <c r="AD26" i="2"/>
  <c r="AE26" i="2"/>
  <c r="AF26" i="2"/>
  <c r="AG26" i="2"/>
  <c r="AH26" i="2"/>
  <c r="AJ26" i="2"/>
  <c r="AK26" i="2"/>
  <c r="AL26" i="2"/>
  <c r="AM26" i="2"/>
  <c r="AN26" i="2"/>
  <c r="AO26" i="2"/>
  <c r="AP26" i="2"/>
  <c r="AQ26" i="2"/>
  <c r="AS26" i="2"/>
  <c r="AT26" i="2"/>
  <c r="AU26" i="2"/>
  <c r="AW26" i="2"/>
  <c r="AX26" i="2"/>
  <c r="AY26" i="2"/>
  <c r="AZ26" i="2"/>
  <c r="BB26" i="2"/>
  <c r="BC26" i="2"/>
  <c r="BE26" i="2"/>
  <c r="BF26" i="2"/>
  <c r="BH26" i="2"/>
  <c r="BI26" i="2"/>
  <c r="BK26" i="2"/>
  <c r="CS26" i="2"/>
  <c r="CT26" i="2"/>
  <c r="CU26" i="2"/>
  <c r="CV26" i="2"/>
  <c r="CW26" i="2"/>
  <c r="CX26" i="2"/>
  <c r="CY26" i="2"/>
  <c r="DD26" i="2"/>
  <c r="DE26" i="2"/>
  <c r="DL26" i="2"/>
  <c r="DQ26" i="2"/>
  <c r="DS26" i="2"/>
  <c r="DU26" i="2"/>
  <c r="DV26" i="2"/>
  <c r="DW26" i="2"/>
  <c r="DX26" i="2"/>
  <c r="DY26" i="2"/>
  <c r="DZ26" i="2"/>
  <c r="FE26" i="2"/>
  <c r="FF26" i="2"/>
  <c r="FG26" i="2"/>
  <c r="FH26" i="2"/>
  <c r="FI26" i="2"/>
  <c r="FJ26" i="2"/>
  <c r="FK26" i="2"/>
  <c r="FL26" i="2"/>
  <c r="FP26" i="2"/>
  <c r="FQ26" i="2"/>
  <c r="FS26" i="2"/>
  <c r="FT26" i="2"/>
  <c r="FV26" i="2"/>
  <c r="FW26" i="2"/>
  <c r="FX26" i="2"/>
  <c r="FY26" i="2"/>
  <c r="FZ26" i="2"/>
  <c r="GA26" i="2"/>
  <c r="GB26" i="2"/>
  <c r="GC26" i="2"/>
  <c r="GE26" i="2"/>
  <c r="GF26" i="2"/>
  <c r="GG26" i="2"/>
  <c r="GH26" i="2"/>
  <c r="GI26" i="2"/>
  <c r="GJ26" i="2"/>
  <c r="GK26" i="2"/>
  <c r="GL26" i="2"/>
  <c r="GM26" i="2"/>
  <c r="GN26" i="2"/>
  <c r="GO26" i="2"/>
  <c r="GP26" i="2"/>
  <c r="GQ26" i="2"/>
  <c r="GR26" i="2"/>
  <c r="GS26" i="2"/>
  <c r="GT26" i="2"/>
  <c r="GU26" i="2"/>
  <c r="GV26" i="2"/>
  <c r="GW26" i="2"/>
  <c r="C27" i="2"/>
  <c r="D27" i="2"/>
  <c r="E27" i="2"/>
  <c r="S27" i="2"/>
  <c r="T27" i="2"/>
  <c r="U27" i="2"/>
  <c r="V27" i="2"/>
  <c r="W27" i="2"/>
  <c r="X27" i="2"/>
  <c r="Y27" i="2"/>
  <c r="Z27" i="2"/>
  <c r="AA27" i="2"/>
  <c r="AB27" i="2"/>
  <c r="AD27" i="2"/>
  <c r="AE27" i="2"/>
  <c r="AF27" i="2"/>
  <c r="AG27" i="2"/>
  <c r="AH27" i="2"/>
  <c r="AJ27" i="2"/>
  <c r="AK27" i="2"/>
  <c r="AL27" i="2"/>
  <c r="AM27" i="2"/>
  <c r="AN27" i="2"/>
  <c r="AO27" i="2"/>
  <c r="AP27" i="2"/>
  <c r="AQ27" i="2"/>
  <c r="AS27" i="2"/>
  <c r="AT27" i="2"/>
  <c r="AU27" i="2"/>
  <c r="AW27" i="2"/>
  <c r="AX27" i="2"/>
  <c r="AY27" i="2"/>
  <c r="AZ27" i="2"/>
  <c r="BB27" i="2"/>
  <c r="BC27" i="2"/>
  <c r="BE27" i="2"/>
  <c r="BF27" i="2"/>
  <c r="BH27" i="2"/>
  <c r="BI27" i="2"/>
  <c r="BK27" i="2"/>
  <c r="CS27" i="2"/>
  <c r="CT27" i="2"/>
  <c r="CU27" i="2"/>
  <c r="CV27" i="2"/>
  <c r="CW27" i="2"/>
  <c r="CX27" i="2"/>
  <c r="CY27" i="2"/>
  <c r="DD27" i="2"/>
  <c r="DE27" i="2"/>
  <c r="DL27" i="2"/>
  <c r="DQ27" i="2"/>
  <c r="DS27" i="2"/>
  <c r="DU27" i="2"/>
  <c r="DV27" i="2"/>
  <c r="DW27" i="2"/>
  <c r="DX27" i="2"/>
  <c r="DY27" i="2"/>
  <c r="DZ27" i="2"/>
  <c r="FE27" i="2"/>
  <c r="FF27" i="2"/>
  <c r="FG27" i="2"/>
  <c r="FH27" i="2"/>
  <c r="FI27" i="2"/>
  <c r="FJ27" i="2"/>
  <c r="FK27" i="2"/>
  <c r="FL27" i="2"/>
  <c r="FP27" i="2"/>
  <c r="FQ27" i="2"/>
  <c r="FS27" i="2"/>
  <c r="FT27" i="2"/>
  <c r="FV27" i="2"/>
  <c r="FW27" i="2"/>
  <c r="FX27" i="2"/>
  <c r="FY27" i="2"/>
  <c r="FZ27" i="2"/>
  <c r="GA27" i="2"/>
  <c r="GB27" i="2"/>
  <c r="GC27" i="2"/>
  <c r="GE27" i="2"/>
  <c r="GF27" i="2"/>
  <c r="GG27" i="2"/>
  <c r="GH27" i="2"/>
  <c r="GI27" i="2"/>
  <c r="GJ27" i="2"/>
  <c r="GK27" i="2"/>
  <c r="GL27" i="2"/>
  <c r="GM27" i="2"/>
  <c r="GN27" i="2"/>
  <c r="GO27" i="2"/>
  <c r="GP27" i="2"/>
  <c r="GQ27" i="2"/>
  <c r="GR27" i="2"/>
  <c r="GS27" i="2"/>
  <c r="GT27" i="2"/>
  <c r="GU27" i="2"/>
  <c r="GV27" i="2"/>
  <c r="GW27" i="2"/>
  <c r="C28" i="2"/>
  <c r="D28" i="2"/>
  <c r="E28" i="2"/>
  <c r="S28" i="2"/>
  <c r="T28" i="2"/>
  <c r="U28" i="2"/>
  <c r="V28" i="2"/>
  <c r="W28" i="2"/>
  <c r="X28" i="2"/>
  <c r="Y28" i="2"/>
  <c r="Z28" i="2"/>
  <c r="AA28" i="2"/>
  <c r="AB28" i="2"/>
  <c r="AD28" i="2"/>
  <c r="AE28" i="2"/>
  <c r="AF28" i="2"/>
  <c r="AG28" i="2"/>
  <c r="AH28" i="2"/>
  <c r="AJ28" i="2"/>
  <c r="AK28" i="2"/>
  <c r="AL28" i="2"/>
  <c r="AM28" i="2"/>
  <c r="AN28" i="2"/>
  <c r="AO28" i="2"/>
  <c r="AP28" i="2"/>
  <c r="AQ28" i="2"/>
  <c r="AS28" i="2"/>
  <c r="AT28" i="2"/>
  <c r="AU28" i="2"/>
  <c r="AW28" i="2"/>
  <c r="AX28" i="2"/>
  <c r="AY28" i="2"/>
  <c r="AZ28" i="2"/>
  <c r="BB28" i="2"/>
  <c r="BC28" i="2"/>
  <c r="BE28" i="2"/>
  <c r="BF28" i="2"/>
  <c r="BH28" i="2"/>
  <c r="BI28" i="2"/>
  <c r="BK28" i="2"/>
  <c r="CS28" i="2"/>
  <c r="CT28" i="2"/>
  <c r="CU28" i="2"/>
  <c r="CV28" i="2"/>
  <c r="CW28" i="2"/>
  <c r="CX28" i="2"/>
  <c r="CY28" i="2"/>
  <c r="DD28" i="2"/>
  <c r="DE28" i="2"/>
  <c r="DL28" i="2"/>
  <c r="DQ28" i="2"/>
  <c r="DS28" i="2"/>
  <c r="DU28" i="2"/>
  <c r="DV28" i="2"/>
  <c r="DW28" i="2"/>
  <c r="DX28" i="2"/>
  <c r="DY28" i="2"/>
  <c r="DZ28" i="2"/>
  <c r="FE28" i="2"/>
  <c r="FF28" i="2"/>
  <c r="FG28" i="2"/>
  <c r="FH28" i="2"/>
  <c r="FI28" i="2"/>
  <c r="FJ28" i="2"/>
  <c r="FK28" i="2"/>
  <c r="FL28" i="2"/>
  <c r="FP28" i="2"/>
  <c r="FQ28" i="2"/>
  <c r="FS28" i="2"/>
  <c r="FT28" i="2"/>
  <c r="FV28" i="2"/>
  <c r="FW28" i="2"/>
  <c r="FX28" i="2"/>
  <c r="FY28" i="2"/>
  <c r="FZ28" i="2"/>
  <c r="GA28" i="2"/>
  <c r="GB28" i="2"/>
  <c r="GC28" i="2"/>
  <c r="GE28" i="2"/>
  <c r="GF28" i="2"/>
  <c r="GG28" i="2"/>
  <c r="GH28" i="2"/>
  <c r="GI28" i="2"/>
  <c r="GJ28" i="2"/>
  <c r="GK28" i="2"/>
  <c r="GL28" i="2"/>
  <c r="GM28" i="2"/>
  <c r="GN28" i="2"/>
  <c r="GO28" i="2"/>
  <c r="GP28" i="2"/>
  <c r="GQ28" i="2"/>
  <c r="GR28" i="2"/>
  <c r="GS28" i="2"/>
  <c r="GT28" i="2"/>
  <c r="GU28" i="2"/>
  <c r="GV28" i="2"/>
  <c r="GW28" i="2"/>
  <c r="C29" i="2"/>
  <c r="D29" i="2"/>
  <c r="E29" i="2"/>
  <c r="S29" i="2"/>
  <c r="T29" i="2"/>
  <c r="U29" i="2"/>
  <c r="V29" i="2"/>
  <c r="W29" i="2"/>
  <c r="X29" i="2"/>
  <c r="Y29" i="2"/>
  <c r="Z29" i="2"/>
  <c r="AA29" i="2"/>
  <c r="AB29" i="2"/>
  <c r="AD29" i="2"/>
  <c r="AE29" i="2"/>
  <c r="AF29" i="2"/>
  <c r="AG29" i="2"/>
  <c r="AH29" i="2"/>
  <c r="AJ29" i="2"/>
  <c r="AK29" i="2"/>
  <c r="AL29" i="2"/>
  <c r="AM29" i="2"/>
  <c r="AN29" i="2"/>
  <c r="AO29" i="2"/>
  <c r="AP29" i="2"/>
  <c r="AQ29" i="2"/>
  <c r="AS29" i="2"/>
  <c r="AT29" i="2"/>
  <c r="AU29" i="2"/>
  <c r="AW29" i="2"/>
  <c r="AX29" i="2"/>
  <c r="AY29" i="2"/>
  <c r="AZ29" i="2"/>
  <c r="BB29" i="2"/>
  <c r="BC29" i="2"/>
  <c r="BE29" i="2"/>
  <c r="BF29" i="2"/>
  <c r="BH29" i="2"/>
  <c r="BI29" i="2"/>
  <c r="BK29" i="2"/>
  <c r="CS29" i="2"/>
  <c r="CT29" i="2"/>
  <c r="CU29" i="2"/>
  <c r="CV29" i="2"/>
  <c r="CW29" i="2"/>
  <c r="CX29" i="2"/>
  <c r="CY29" i="2"/>
  <c r="DD29" i="2"/>
  <c r="DE29" i="2"/>
  <c r="DL29" i="2"/>
  <c r="DQ29" i="2"/>
  <c r="DS29" i="2"/>
  <c r="DU29" i="2"/>
  <c r="DV29" i="2"/>
  <c r="DW29" i="2"/>
  <c r="DX29" i="2"/>
  <c r="DY29" i="2"/>
  <c r="DZ29" i="2"/>
  <c r="FE29" i="2"/>
  <c r="FF29" i="2"/>
  <c r="FG29" i="2"/>
  <c r="FH29" i="2"/>
  <c r="FI29" i="2"/>
  <c r="FJ29" i="2"/>
  <c r="FK29" i="2"/>
  <c r="FL29" i="2"/>
  <c r="FP29" i="2"/>
  <c r="FQ29" i="2"/>
  <c r="FS29" i="2"/>
  <c r="FT29" i="2"/>
  <c r="FV29" i="2"/>
  <c r="FW29" i="2"/>
  <c r="FX29" i="2"/>
  <c r="FY29" i="2"/>
  <c r="FZ29" i="2"/>
  <c r="GA29" i="2"/>
  <c r="GB29" i="2"/>
  <c r="GC29" i="2"/>
  <c r="GE29" i="2"/>
  <c r="GF29" i="2"/>
  <c r="GG29" i="2"/>
  <c r="GH29" i="2"/>
  <c r="GI29" i="2"/>
  <c r="GJ29" i="2"/>
  <c r="GK29" i="2"/>
  <c r="GL29" i="2"/>
  <c r="GM29" i="2"/>
  <c r="GN29" i="2"/>
  <c r="GO29" i="2"/>
  <c r="GP29" i="2"/>
  <c r="GQ29" i="2"/>
  <c r="GR29" i="2"/>
  <c r="GS29" i="2"/>
  <c r="GT29" i="2"/>
  <c r="GU29" i="2"/>
  <c r="GV29" i="2"/>
  <c r="GW29" i="2"/>
  <c r="C30" i="2"/>
  <c r="D30" i="2"/>
  <c r="E30" i="2"/>
  <c r="S30" i="2"/>
  <c r="T30" i="2"/>
  <c r="U30" i="2"/>
  <c r="V30" i="2"/>
  <c r="W30" i="2"/>
  <c r="X30" i="2"/>
  <c r="Y30" i="2"/>
  <c r="Z30" i="2"/>
  <c r="AA30" i="2"/>
  <c r="AB30" i="2"/>
  <c r="AD30" i="2"/>
  <c r="AE30" i="2"/>
  <c r="AF30" i="2"/>
  <c r="AG30" i="2"/>
  <c r="AH30" i="2"/>
  <c r="AJ30" i="2"/>
  <c r="AK30" i="2"/>
  <c r="AL30" i="2"/>
  <c r="AM30" i="2"/>
  <c r="AN30" i="2"/>
  <c r="AO30" i="2"/>
  <c r="AP30" i="2"/>
  <c r="AQ30" i="2"/>
  <c r="AS30" i="2"/>
  <c r="AT30" i="2"/>
  <c r="AU30" i="2"/>
  <c r="AW30" i="2"/>
  <c r="AX30" i="2"/>
  <c r="AY30" i="2"/>
  <c r="AZ30" i="2"/>
  <c r="BB30" i="2"/>
  <c r="BC30" i="2"/>
  <c r="BE30" i="2"/>
  <c r="BF30" i="2"/>
  <c r="BH30" i="2"/>
  <c r="BI30" i="2"/>
  <c r="BK30" i="2"/>
  <c r="CS30" i="2"/>
  <c r="CT30" i="2"/>
  <c r="CU30" i="2"/>
  <c r="CV30" i="2"/>
  <c r="CW30" i="2"/>
  <c r="CX30" i="2"/>
  <c r="CY30" i="2"/>
  <c r="DD30" i="2"/>
  <c r="DE30" i="2"/>
  <c r="DL30" i="2"/>
  <c r="DQ30" i="2"/>
  <c r="DS30" i="2"/>
  <c r="DU30" i="2"/>
  <c r="DV30" i="2"/>
  <c r="DW30" i="2"/>
  <c r="DX30" i="2"/>
  <c r="DY30" i="2"/>
  <c r="DZ30" i="2"/>
  <c r="FE30" i="2"/>
  <c r="FF30" i="2"/>
  <c r="FG30" i="2"/>
  <c r="FH30" i="2"/>
  <c r="FI30" i="2"/>
  <c r="FJ30" i="2"/>
  <c r="FK30" i="2"/>
  <c r="FL30" i="2"/>
  <c r="FP30" i="2"/>
  <c r="FQ30" i="2"/>
  <c r="FS30" i="2"/>
  <c r="FT30" i="2"/>
  <c r="FV30" i="2"/>
  <c r="FW30" i="2"/>
  <c r="FX30" i="2"/>
  <c r="FY30" i="2"/>
  <c r="FZ30" i="2"/>
  <c r="GA30" i="2"/>
  <c r="GB30" i="2"/>
  <c r="GC30" i="2"/>
  <c r="GE30" i="2"/>
  <c r="GF30" i="2"/>
  <c r="GG30" i="2"/>
  <c r="GH30" i="2"/>
  <c r="GI30" i="2"/>
  <c r="GJ30" i="2"/>
  <c r="GK30" i="2"/>
  <c r="GL30" i="2"/>
  <c r="GM30" i="2"/>
  <c r="GN30" i="2"/>
  <c r="GO30" i="2"/>
  <c r="GP30" i="2"/>
  <c r="GQ30" i="2"/>
  <c r="GR30" i="2"/>
  <c r="GS30" i="2"/>
  <c r="GT30" i="2"/>
  <c r="GU30" i="2"/>
  <c r="GV30" i="2"/>
  <c r="GW30" i="2"/>
  <c r="C31" i="2"/>
  <c r="D31" i="2"/>
  <c r="E31" i="2"/>
  <c r="S31" i="2"/>
  <c r="T31" i="2"/>
  <c r="U31" i="2"/>
  <c r="V31" i="2"/>
  <c r="W31" i="2"/>
  <c r="X31" i="2"/>
  <c r="Y31" i="2"/>
  <c r="Z31" i="2"/>
  <c r="AA31" i="2"/>
  <c r="AB31" i="2"/>
  <c r="AD31" i="2"/>
  <c r="AE31" i="2"/>
  <c r="AF31" i="2"/>
  <c r="AG31" i="2"/>
  <c r="AH31" i="2"/>
  <c r="AJ31" i="2"/>
  <c r="AK31" i="2"/>
  <c r="AL31" i="2"/>
  <c r="AM31" i="2"/>
  <c r="AN31" i="2"/>
  <c r="AO31" i="2"/>
  <c r="AP31" i="2"/>
  <c r="AQ31" i="2"/>
  <c r="AS31" i="2"/>
  <c r="AT31" i="2"/>
  <c r="AU31" i="2"/>
  <c r="AW31" i="2"/>
  <c r="AX31" i="2"/>
  <c r="AY31" i="2"/>
  <c r="AZ31" i="2"/>
  <c r="BB31" i="2"/>
  <c r="BC31" i="2"/>
  <c r="BE31" i="2"/>
  <c r="BF31" i="2"/>
  <c r="BH31" i="2"/>
  <c r="BI31" i="2"/>
  <c r="BK31" i="2"/>
  <c r="CS31" i="2"/>
  <c r="CT31" i="2"/>
  <c r="CU31" i="2"/>
  <c r="CV31" i="2"/>
  <c r="CW31" i="2"/>
  <c r="CX31" i="2"/>
  <c r="CY31" i="2"/>
  <c r="DD31" i="2"/>
  <c r="DE31" i="2"/>
  <c r="DL31" i="2"/>
  <c r="DQ31" i="2"/>
  <c r="DS31" i="2"/>
  <c r="DU31" i="2"/>
  <c r="DV31" i="2"/>
  <c r="DW31" i="2"/>
  <c r="DX31" i="2"/>
  <c r="DY31" i="2"/>
  <c r="DZ31" i="2"/>
  <c r="FE31" i="2"/>
  <c r="FF31" i="2"/>
  <c r="FG31" i="2"/>
  <c r="FH31" i="2"/>
  <c r="FI31" i="2"/>
  <c r="FJ31" i="2"/>
  <c r="FK31" i="2"/>
  <c r="FL31" i="2"/>
  <c r="FP31" i="2"/>
  <c r="FQ31" i="2"/>
  <c r="FS31" i="2"/>
  <c r="FT31" i="2"/>
  <c r="FV31" i="2"/>
  <c r="FW31" i="2"/>
  <c r="FX31" i="2"/>
  <c r="FY31" i="2"/>
  <c r="FZ31" i="2"/>
  <c r="GA31" i="2"/>
  <c r="GB31" i="2"/>
  <c r="GC31" i="2"/>
  <c r="GE31" i="2"/>
  <c r="GF31" i="2"/>
  <c r="GG31" i="2"/>
  <c r="GH31" i="2"/>
  <c r="GI31" i="2"/>
  <c r="GJ31" i="2"/>
  <c r="GK31" i="2"/>
  <c r="GL31" i="2"/>
  <c r="GM31" i="2"/>
  <c r="GN31" i="2"/>
  <c r="GO31" i="2"/>
  <c r="GP31" i="2"/>
  <c r="GQ31" i="2"/>
  <c r="GR31" i="2"/>
  <c r="GS31" i="2"/>
  <c r="GT31" i="2"/>
  <c r="GU31" i="2"/>
  <c r="GV31" i="2"/>
  <c r="GW31" i="2"/>
  <c r="C32" i="2"/>
  <c r="D32" i="2"/>
  <c r="E32" i="2"/>
  <c r="S32" i="2"/>
  <c r="T32" i="2"/>
  <c r="U32" i="2"/>
  <c r="V32" i="2"/>
  <c r="W32" i="2"/>
  <c r="X32" i="2"/>
  <c r="Y32" i="2"/>
  <c r="Z32" i="2"/>
  <c r="AA32" i="2"/>
  <c r="AB32" i="2"/>
  <c r="AD32" i="2"/>
  <c r="AE32" i="2"/>
  <c r="AF32" i="2"/>
  <c r="AG32" i="2"/>
  <c r="AH32" i="2"/>
  <c r="AJ32" i="2"/>
  <c r="AK32" i="2"/>
  <c r="AL32" i="2"/>
  <c r="AM32" i="2"/>
  <c r="AN32" i="2"/>
  <c r="AO32" i="2"/>
  <c r="AP32" i="2"/>
  <c r="AQ32" i="2"/>
  <c r="AS32" i="2"/>
  <c r="AT32" i="2"/>
  <c r="AU32" i="2"/>
  <c r="AW32" i="2"/>
  <c r="AX32" i="2"/>
  <c r="AY32" i="2"/>
  <c r="AZ32" i="2"/>
  <c r="BB32" i="2"/>
  <c r="BC32" i="2"/>
  <c r="BE32" i="2"/>
  <c r="BF32" i="2"/>
  <c r="BH32" i="2"/>
  <c r="BI32" i="2"/>
  <c r="BK32" i="2"/>
  <c r="CS32" i="2"/>
  <c r="CT32" i="2"/>
  <c r="CU32" i="2"/>
  <c r="CV32" i="2"/>
  <c r="CW32" i="2"/>
  <c r="CX32" i="2"/>
  <c r="CY32" i="2"/>
  <c r="DD32" i="2"/>
  <c r="DE32" i="2"/>
  <c r="DL32" i="2"/>
  <c r="DQ32" i="2"/>
  <c r="DS32" i="2"/>
  <c r="DU32" i="2"/>
  <c r="DV32" i="2"/>
  <c r="DW32" i="2"/>
  <c r="DX32" i="2"/>
  <c r="DY32" i="2"/>
  <c r="DZ32" i="2"/>
  <c r="FE32" i="2"/>
  <c r="FF32" i="2"/>
  <c r="FG32" i="2"/>
  <c r="FH32" i="2"/>
  <c r="FI32" i="2"/>
  <c r="FJ32" i="2"/>
  <c r="FK32" i="2"/>
  <c r="FL32" i="2"/>
  <c r="FP32" i="2"/>
  <c r="FQ32" i="2"/>
  <c r="FS32" i="2"/>
  <c r="FT32" i="2"/>
  <c r="FV32" i="2"/>
  <c r="FW32" i="2"/>
  <c r="FX32" i="2"/>
  <c r="FY32" i="2"/>
  <c r="FZ32" i="2"/>
  <c r="GA32" i="2"/>
  <c r="GB32" i="2"/>
  <c r="GC32" i="2"/>
  <c r="GE32" i="2"/>
  <c r="GF32" i="2"/>
  <c r="GG32" i="2"/>
  <c r="GH32" i="2"/>
  <c r="GI32" i="2"/>
  <c r="GJ32" i="2"/>
  <c r="GK32" i="2"/>
  <c r="GL32" i="2"/>
  <c r="GM32" i="2"/>
  <c r="GN32" i="2"/>
  <c r="GO32" i="2"/>
  <c r="GP32" i="2"/>
  <c r="GQ32" i="2"/>
  <c r="GR32" i="2"/>
  <c r="GS32" i="2"/>
  <c r="GT32" i="2"/>
  <c r="GU32" i="2"/>
  <c r="GV32" i="2"/>
  <c r="GW32" i="2"/>
  <c r="C33" i="2"/>
  <c r="D33" i="2"/>
  <c r="E33" i="2"/>
  <c r="S33" i="2"/>
  <c r="T33" i="2"/>
  <c r="U33" i="2"/>
  <c r="V33" i="2"/>
  <c r="W33" i="2"/>
  <c r="X33" i="2"/>
  <c r="Y33" i="2"/>
  <c r="Z33" i="2"/>
  <c r="AA33" i="2"/>
  <c r="AB33" i="2"/>
  <c r="AD33" i="2"/>
  <c r="AE33" i="2"/>
  <c r="AF33" i="2"/>
  <c r="AG33" i="2"/>
  <c r="AH33" i="2"/>
  <c r="AJ33" i="2"/>
  <c r="AK33" i="2"/>
  <c r="AL33" i="2"/>
  <c r="AM33" i="2"/>
  <c r="AN33" i="2"/>
  <c r="AO33" i="2"/>
  <c r="AP33" i="2"/>
  <c r="AQ33" i="2"/>
  <c r="AS33" i="2"/>
  <c r="AT33" i="2"/>
  <c r="AU33" i="2"/>
  <c r="AW33" i="2"/>
  <c r="AX33" i="2"/>
  <c r="AY33" i="2"/>
  <c r="AZ33" i="2"/>
  <c r="BB33" i="2"/>
  <c r="BC33" i="2"/>
  <c r="BE33" i="2"/>
  <c r="BF33" i="2"/>
  <c r="BH33" i="2"/>
  <c r="BI33" i="2"/>
  <c r="BK33" i="2"/>
  <c r="CS33" i="2"/>
  <c r="CT33" i="2"/>
  <c r="CU33" i="2"/>
  <c r="CV33" i="2"/>
  <c r="CW33" i="2"/>
  <c r="CX33" i="2"/>
  <c r="CY33" i="2"/>
  <c r="DD33" i="2"/>
  <c r="DE33" i="2"/>
  <c r="DL33" i="2"/>
  <c r="DQ33" i="2"/>
  <c r="DS33" i="2"/>
  <c r="DU33" i="2"/>
  <c r="DV33" i="2"/>
  <c r="DW33" i="2"/>
  <c r="DX33" i="2"/>
  <c r="DY33" i="2"/>
  <c r="DZ33" i="2"/>
  <c r="FE33" i="2"/>
  <c r="FF33" i="2"/>
  <c r="FG33" i="2"/>
  <c r="FH33" i="2"/>
  <c r="FI33" i="2"/>
  <c r="FJ33" i="2"/>
  <c r="FK33" i="2"/>
  <c r="FL33" i="2"/>
  <c r="FP33" i="2"/>
  <c r="FQ33" i="2"/>
  <c r="FS33" i="2"/>
  <c r="FT33" i="2"/>
  <c r="FV33" i="2"/>
  <c r="FW33" i="2"/>
  <c r="FX33" i="2"/>
  <c r="FY33" i="2"/>
  <c r="FZ33" i="2"/>
  <c r="GA33" i="2"/>
  <c r="GB33" i="2"/>
  <c r="GC33" i="2"/>
  <c r="GE33" i="2"/>
  <c r="GF33" i="2"/>
  <c r="GG33" i="2"/>
  <c r="GH33" i="2"/>
  <c r="GI33" i="2"/>
  <c r="GJ33" i="2"/>
  <c r="GK33" i="2"/>
  <c r="GL33" i="2"/>
  <c r="GM33" i="2"/>
  <c r="GN33" i="2"/>
  <c r="GO33" i="2"/>
  <c r="GP33" i="2"/>
  <c r="GQ33" i="2"/>
  <c r="GR33" i="2"/>
  <c r="GS33" i="2"/>
  <c r="GT33" i="2"/>
  <c r="GU33" i="2"/>
  <c r="GV33" i="2"/>
  <c r="GW33" i="2"/>
  <c r="C34" i="2"/>
  <c r="D34" i="2"/>
  <c r="E34" i="2"/>
  <c r="S34" i="2"/>
  <c r="T34" i="2"/>
  <c r="U34" i="2"/>
  <c r="V34" i="2"/>
  <c r="W34" i="2"/>
  <c r="X34" i="2"/>
  <c r="Y34" i="2"/>
  <c r="Z34" i="2"/>
  <c r="AA34" i="2"/>
  <c r="AB34" i="2"/>
  <c r="AD34" i="2"/>
  <c r="AE34" i="2"/>
  <c r="AF34" i="2"/>
  <c r="AG34" i="2"/>
  <c r="AH34" i="2"/>
  <c r="AJ34" i="2"/>
  <c r="AK34" i="2"/>
  <c r="AL34" i="2"/>
  <c r="AM34" i="2"/>
  <c r="AN34" i="2"/>
  <c r="AO34" i="2"/>
  <c r="AP34" i="2"/>
  <c r="AQ34" i="2"/>
  <c r="AS34" i="2"/>
  <c r="AT34" i="2"/>
  <c r="AU34" i="2"/>
  <c r="AW34" i="2"/>
  <c r="AX34" i="2"/>
  <c r="AY34" i="2"/>
  <c r="AZ34" i="2"/>
  <c r="BB34" i="2"/>
  <c r="BC34" i="2"/>
  <c r="BE34" i="2"/>
  <c r="BF34" i="2"/>
  <c r="BH34" i="2"/>
  <c r="BI34" i="2"/>
  <c r="BK34" i="2"/>
  <c r="CS34" i="2"/>
  <c r="CT34" i="2"/>
  <c r="CU34" i="2"/>
  <c r="CV34" i="2"/>
  <c r="CW34" i="2"/>
  <c r="CX34" i="2"/>
  <c r="CY34" i="2"/>
  <c r="DD34" i="2"/>
  <c r="DE34" i="2"/>
  <c r="DL34" i="2"/>
  <c r="DQ34" i="2"/>
  <c r="DS34" i="2"/>
  <c r="DU34" i="2"/>
  <c r="DV34" i="2"/>
  <c r="DW34" i="2"/>
  <c r="DX34" i="2"/>
  <c r="DY34" i="2"/>
  <c r="DZ34" i="2"/>
  <c r="FE34" i="2"/>
  <c r="FF34" i="2"/>
  <c r="FG34" i="2"/>
  <c r="FH34" i="2"/>
  <c r="FI34" i="2"/>
  <c r="FJ34" i="2"/>
  <c r="FK34" i="2"/>
  <c r="FL34" i="2"/>
  <c r="FP34" i="2"/>
  <c r="FQ34" i="2"/>
  <c r="FS34" i="2"/>
  <c r="FT34" i="2"/>
  <c r="FV34" i="2"/>
  <c r="FW34" i="2"/>
  <c r="FX34" i="2"/>
  <c r="FY34" i="2"/>
  <c r="FZ34" i="2"/>
  <c r="GA34" i="2"/>
  <c r="GB34" i="2"/>
  <c r="GC34" i="2"/>
  <c r="GE34" i="2"/>
  <c r="GF34" i="2"/>
  <c r="GG34" i="2"/>
  <c r="GH34" i="2"/>
  <c r="GI34" i="2"/>
  <c r="GJ34" i="2"/>
  <c r="GK34" i="2"/>
  <c r="GL34" i="2"/>
  <c r="GM34" i="2"/>
  <c r="GN34" i="2"/>
  <c r="GO34" i="2"/>
  <c r="GP34" i="2"/>
  <c r="GQ34" i="2"/>
  <c r="GR34" i="2"/>
  <c r="GS34" i="2"/>
  <c r="GT34" i="2"/>
  <c r="GU34" i="2"/>
  <c r="GV34" i="2"/>
  <c r="GW34" i="2"/>
  <c r="C35" i="2"/>
  <c r="D35" i="2"/>
  <c r="E35" i="2"/>
  <c r="S35" i="2"/>
  <c r="T35" i="2"/>
  <c r="U35" i="2"/>
  <c r="V35" i="2"/>
  <c r="W35" i="2"/>
  <c r="X35" i="2"/>
  <c r="Y35" i="2"/>
  <c r="Z35" i="2"/>
  <c r="AA35" i="2"/>
  <c r="AB35" i="2"/>
  <c r="AD35" i="2"/>
  <c r="AE35" i="2"/>
  <c r="AF35" i="2"/>
  <c r="AG35" i="2"/>
  <c r="AH35" i="2"/>
  <c r="AJ35" i="2"/>
  <c r="AK35" i="2"/>
  <c r="AL35" i="2"/>
  <c r="AM35" i="2"/>
  <c r="AN35" i="2"/>
  <c r="AO35" i="2"/>
  <c r="AP35" i="2"/>
  <c r="AQ35" i="2"/>
  <c r="AS35" i="2"/>
  <c r="AT35" i="2"/>
  <c r="AU35" i="2"/>
  <c r="AW35" i="2"/>
  <c r="AX35" i="2"/>
  <c r="AY35" i="2"/>
  <c r="AZ35" i="2"/>
  <c r="BB35" i="2"/>
  <c r="BC35" i="2"/>
  <c r="BE35" i="2"/>
  <c r="BF35" i="2"/>
  <c r="BH35" i="2"/>
  <c r="BI35" i="2"/>
  <c r="BK35" i="2"/>
  <c r="CS35" i="2"/>
  <c r="CT35" i="2"/>
  <c r="CU35" i="2"/>
  <c r="CV35" i="2"/>
  <c r="CW35" i="2"/>
  <c r="CX35" i="2"/>
  <c r="CY35" i="2"/>
  <c r="DD35" i="2"/>
  <c r="DE35" i="2"/>
  <c r="DL35" i="2"/>
  <c r="DQ35" i="2"/>
  <c r="DS35" i="2"/>
  <c r="DU35" i="2"/>
  <c r="DV35" i="2"/>
  <c r="DW35" i="2"/>
  <c r="DX35" i="2"/>
  <c r="DY35" i="2"/>
  <c r="DZ35" i="2"/>
  <c r="FE35" i="2"/>
  <c r="FF35" i="2"/>
  <c r="FG35" i="2"/>
  <c r="FH35" i="2"/>
  <c r="FI35" i="2"/>
  <c r="FJ35" i="2"/>
  <c r="FK35" i="2"/>
  <c r="FL35" i="2"/>
  <c r="FP35" i="2"/>
  <c r="FQ35" i="2"/>
  <c r="FS35" i="2"/>
  <c r="FT35" i="2"/>
  <c r="FV35" i="2"/>
  <c r="FW35" i="2"/>
  <c r="FX35" i="2"/>
  <c r="FY35" i="2"/>
  <c r="FZ35" i="2"/>
  <c r="GA35" i="2"/>
  <c r="GB35" i="2"/>
  <c r="GC35" i="2"/>
  <c r="GE35" i="2"/>
  <c r="GF35" i="2"/>
  <c r="GG35" i="2"/>
  <c r="GH35" i="2"/>
  <c r="GI35" i="2"/>
  <c r="GJ35" i="2"/>
  <c r="GK35" i="2"/>
  <c r="GL35" i="2"/>
  <c r="GM35" i="2"/>
  <c r="GN35" i="2"/>
  <c r="GO35" i="2"/>
  <c r="GP35" i="2"/>
  <c r="GQ35" i="2"/>
  <c r="GR35" i="2"/>
  <c r="GS35" i="2"/>
  <c r="GT35" i="2"/>
  <c r="GU35" i="2"/>
  <c r="GV35" i="2"/>
  <c r="GW35" i="2"/>
  <c r="C36" i="2"/>
  <c r="D36" i="2"/>
  <c r="E36" i="2"/>
  <c r="S36" i="2"/>
  <c r="T36" i="2"/>
  <c r="U36" i="2"/>
  <c r="V36" i="2"/>
  <c r="W36" i="2"/>
  <c r="X36" i="2"/>
  <c r="Y36" i="2"/>
  <c r="Z36" i="2"/>
  <c r="AA36" i="2"/>
  <c r="AB36" i="2"/>
  <c r="AD36" i="2"/>
  <c r="AE36" i="2"/>
  <c r="AF36" i="2"/>
  <c r="AG36" i="2"/>
  <c r="AH36" i="2"/>
  <c r="AJ36" i="2"/>
  <c r="AK36" i="2"/>
  <c r="AL36" i="2"/>
  <c r="AM36" i="2"/>
  <c r="AN36" i="2"/>
  <c r="AO36" i="2"/>
  <c r="AP36" i="2"/>
  <c r="AQ36" i="2"/>
  <c r="AS36" i="2"/>
  <c r="AT36" i="2"/>
  <c r="AU36" i="2"/>
  <c r="AW36" i="2"/>
  <c r="AX36" i="2"/>
  <c r="AY36" i="2"/>
  <c r="AZ36" i="2"/>
  <c r="BB36" i="2"/>
  <c r="BC36" i="2"/>
  <c r="BE36" i="2"/>
  <c r="BF36" i="2"/>
  <c r="BH36" i="2"/>
  <c r="BI36" i="2"/>
  <c r="BK36" i="2"/>
  <c r="CS36" i="2"/>
  <c r="CT36" i="2"/>
  <c r="CU36" i="2"/>
  <c r="CV36" i="2"/>
  <c r="CW36" i="2"/>
  <c r="CX36" i="2"/>
  <c r="CY36" i="2"/>
  <c r="DD36" i="2"/>
  <c r="DE36" i="2"/>
  <c r="DL36" i="2"/>
  <c r="DQ36" i="2"/>
  <c r="DS36" i="2"/>
  <c r="DU36" i="2"/>
  <c r="DV36" i="2"/>
  <c r="DW36" i="2"/>
  <c r="DX36" i="2"/>
  <c r="DY36" i="2"/>
  <c r="DZ36" i="2"/>
  <c r="FE36" i="2"/>
  <c r="FF36" i="2"/>
  <c r="FG36" i="2"/>
  <c r="FH36" i="2"/>
  <c r="FI36" i="2"/>
  <c r="FJ36" i="2"/>
  <c r="FK36" i="2"/>
  <c r="FL36" i="2"/>
  <c r="FP36" i="2"/>
  <c r="FQ36" i="2"/>
  <c r="FS36" i="2"/>
  <c r="FT36" i="2"/>
  <c r="FV36" i="2"/>
  <c r="FW36" i="2"/>
  <c r="FX36" i="2"/>
  <c r="FY36" i="2"/>
  <c r="FZ36" i="2"/>
  <c r="GA36" i="2"/>
  <c r="GB36" i="2"/>
  <c r="GC36" i="2"/>
  <c r="GE36" i="2"/>
  <c r="GF36" i="2"/>
  <c r="GG36" i="2"/>
  <c r="GH36" i="2"/>
  <c r="GI36" i="2"/>
  <c r="GJ36" i="2"/>
  <c r="GK36" i="2"/>
  <c r="GL36" i="2"/>
  <c r="GM36" i="2"/>
  <c r="GN36" i="2"/>
  <c r="GO36" i="2"/>
  <c r="GP36" i="2"/>
  <c r="GQ36" i="2"/>
  <c r="GR36" i="2"/>
  <c r="GS36" i="2"/>
  <c r="GT36" i="2"/>
  <c r="GU36" i="2"/>
  <c r="GV36" i="2"/>
  <c r="GW36" i="2"/>
  <c r="C37" i="2"/>
  <c r="D37" i="2"/>
  <c r="E37" i="2"/>
  <c r="S37" i="2"/>
  <c r="T37" i="2"/>
  <c r="U37" i="2"/>
  <c r="V37" i="2"/>
  <c r="W37" i="2"/>
  <c r="X37" i="2"/>
  <c r="Y37" i="2"/>
  <c r="Z37" i="2"/>
  <c r="AA37" i="2"/>
  <c r="AB37" i="2"/>
  <c r="AD37" i="2"/>
  <c r="AE37" i="2"/>
  <c r="AF37" i="2"/>
  <c r="AG37" i="2"/>
  <c r="AH37" i="2"/>
  <c r="AJ37" i="2"/>
  <c r="AK37" i="2"/>
  <c r="AL37" i="2"/>
  <c r="AM37" i="2"/>
  <c r="AN37" i="2"/>
  <c r="AO37" i="2"/>
  <c r="AP37" i="2"/>
  <c r="AQ37" i="2"/>
  <c r="AS37" i="2"/>
  <c r="AT37" i="2"/>
  <c r="AU37" i="2"/>
  <c r="AW37" i="2"/>
  <c r="AX37" i="2"/>
  <c r="AY37" i="2"/>
  <c r="AZ37" i="2"/>
  <c r="BB37" i="2"/>
  <c r="BC37" i="2"/>
  <c r="BE37" i="2"/>
  <c r="BF37" i="2"/>
  <c r="BH37" i="2"/>
  <c r="BI37" i="2"/>
  <c r="BK37" i="2"/>
  <c r="CS37" i="2"/>
  <c r="CT37" i="2"/>
  <c r="CU37" i="2"/>
  <c r="CV37" i="2"/>
  <c r="CW37" i="2"/>
  <c r="CX37" i="2"/>
  <c r="CY37" i="2"/>
  <c r="DD37" i="2"/>
  <c r="DE37" i="2"/>
  <c r="DL37" i="2"/>
  <c r="DQ37" i="2"/>
  <c r="DS37" i="2"/>
  <c r="DU37" i="2"/>
  <c r="DV37" i="2"/>
  <c r="DW37" i="2"/>
  <c r="DX37" i="2"/>
  <c r="DY37" i="2"/>
  <c r="DZ37" i="2"/>
  <c r="FE37" i="2"/>
  <c r="FF37" i="2"/>
  <c r="FG37" i="2"/>
  <c r="FH37" i="2"/>
  <c r="FI37" i="2"/>
  <c r="FJ37" i="2"/>
  <c r="FK37" i="2"/>
  <c r="FL37" i="2"/>
  <c r="FP37" i="2"/>
  <c r="FQ37" i="2"/>
  <c r="FS37" i="2"/>
  <c r="FT37" i="2"/>
  <c r="FV37" i="2"/>
  <c r="FW37" i="2"/>
  <c r="FX37" i="2"/>
  <c r="FY37" i="2"/>
  <c r="FZ37" i="2"/>
  <c r="GA37" i="2"/>
  <c r="GB37" i="2"/>
  <c r="GC37" i="2"/>
  <c r="GE37" i="2"/>
  <c r="GF37" i="2"/>
  <c r="GG37" i="2"/>
  <c r="GH37" i="2"/>
  <c r="GI37" i="2"/>
  <c r="GJ37" i="2"/>
  <c r="GK37" i="2"/>
  <c r="GL37" i="2"/>
  <c r="GM37" i="2"/>
  <c r="GN37" i="2"/>
  <c r="GO37" i="2"/>
  <c r="GP37" i="2"/>
  <c r="GQ37" i="2"/>
  <c r="GR37" i="2"/>
  <c r="GS37" i="2"/>
  <c r="GT37" i="2"/>
  <c r="GU37" i="2"/>
  <c r="GV37" i="2"/>
  <c r="GW37" i="2"/>
  <c r="C38" i="2"/>
  <c r="D38" i="2"/>
  <c r="E38" i="2"/>
  <c r="S38" i="2"/>
  <c r="T38" i="2"/>
  <c r="U38" i="2"/>
  <c r="V38" i="2"/>
  <c r="W38" i="2"/>
  <c r="X38" i="2"/>
  <c r="Y38" i="2"/>
  <c r="Z38" i="2"/>
  <c r="AA38" i="2"/>
  <c r="AB38" i="2"/>
  <c r="AD38" i="2"/>
  <c r="AE38" i="2"/>
  <c r="AF38" i="2"/>
  <c r="AG38" i="2"/>
  <c r="AH38" i="2"/>
  <c r="AJ38" i="2"/>
  <c r="AK38" i="2"/>
  <c r="AL38" i="2"/>
  <c r="AM38" i="2"/>
  <c r="AN38" i="2"/>
  <c r="AO38" i="2"/>
  <c r="AP38" i="2"/>
  <c r="AQ38" i="2"/>
  <c r="AS38" i="2"/>
  <c r="AT38" i="2"/>
  <c r="AU38" i="2"/>
  <c r="AW38" i="2"/>
  <c r="AX38" i="2"/>
  <c r="AY38" i="2"/>
  <c r="AZ38" i="2"/>
  <c r="BB38" i="2"/>
  <c r="BC38" i="2"/>
  <c r="BE38" i="2"/>
  <c r="BF38" i="2"/>
  <c r="BH38" i="2"/>
  <c r="BI38" i="2"/>
  <c r="BK38" i="2"/>
  <c r="CS38" i="2"/>
  <c r="CT38" i="2"/>
  <c r="CU38" i="2"/>
  <c r="CV38" i="2"/>
  <c r="CW38" i="2"/>
  <c r="CX38" i="2"/>
  <c r="CY38" i="2"/>
  <c r="DD38" i="2"/>
  <c r="DE38" i="2"/>
  <c r="DL38" i="2"/>
  <c r="DQ38" i="2"/>
  <c r="DS38" i="2"/>
  <c r="DU38" i="2"/>
  <c r="DV38" i="2"/>
  <c r="DW38" i="2"/>
  <c r="DX38" i="2"/>
  <c r="DY38" i="2"/>
  <c r="DZ38" i="2"/>
  <c r="FE38" i="2"/>
  <c r="FF38" i="2"/>
  <c r="FG38" i="2"/>
  <c r="FH38" i="2"/>
  <c r="FI38" i="2"/>
  <c r="FJ38" i="2"/>
  <c r="FK38" i="2"/>
  <c r="FL38" i="2"/>
  <c r="FP38" i="2"/>
  <c r="FQ38" i="2"/>
  <c r="FS38" i="2"/>
  <c r="FT38" i="2"/>
  <c r="FV38" i="2"/>
  <c r="FW38" i="2"/>
  <c r="FX38" i="2"/>
  <c r="FY38" i="2"/>
  <c r="FZ38" i="2"/>
  <c r="GA38" i="2"/>
  <c r="GB38" i="2"/>
  <c r="GC38" i="2"/>
  <c r="GE38" i="2"/>
  <c r="GF38" i="2"/>
  <c r="GG38" i="2"/>
  <c r="GH38" i="2"/>
  <c r="GI38" i="2"/>
  <c r="GJ38" i="2"/>
  <c r="GK38" i="2"/>
  <c r="GL38" i="2"/>
  <c r="GM38" i="2"/>
  <c r="GN38" i="2"/>
  <c r="GO38" i="2"/>
  <c r="GP38" i="2"/>
  <c r="GQ38" i="2"/>
  <c r="GR38" i="2"/>
  <c r="GS38" i="2"/>
  <c r="GT38" i="2"/>
  <c r="GU38" i="2"/>
  <c r="GV38" i="2"/>
  <c r="GW38" i="2"/>
  <c r="C39" i="2"/>
  <c r="D39" i="2"/>
  <c r="E39" i="2"/>
  <c r="S39" i="2"/>
  <c r="T39" i="2"/>
  <c r="U39" i="2"/>
  <c r="V39" i="2"/>
  <c r="W39" i="2"/>
  <c r="X39" i="2"/>
  <c r="Y39" i="2"/>
  <c r="Z39" i="2"/>
  <c r="AA39" i="2"/>
  <c r="AB39" i="2"/>
  <c r="AD39" i="2"/>
  <c r="AE39" i="2"/>
  <c r="AF39" i="2"/>
  <c r="AG39" i="2"/>
  <c r="AH39" i="2"/>
  <c r="AJ39" i="2"/>
  <c r="AK39" i="2"/>
  <c r="AL39" i="2"/>
  <c r="AM39" i="2"/>
  <c r="AN39" i="2"/>
  <c r="AO39" i="2"/>
  <c r="AP39" i="2"/>
  <c r="AQ39" i="2"/>
  <c r="AS39" i="2"/>
  <c r="AT39" i="2"/>
  <c r="AU39" i="2"/>
  <c r="AW39" i="2"/>
  <c r="AX39" i="2"/>
  <c r="AY39" i="2"/>
  <c r="AZ39" i="2"/>
  <c r="BB39" i="2"/>
  <c r="BC39" i="2"/>
  <c r="BE39" i="2"/>
  <c r="BF39" i="2"/>
  <c r="BH39" i="2"/>
  <c r="BI39" i="2"/>
  <c r="BK39" i="2"/>
  <c r="CS39" i="2"/>
  <c r="CT39" i="2"/>
  <c r="CU39" i="2"/>
  <c r="CV39" i="2"/>
  <c r="CW39" i="2"/>
  <c r="CX39" i="2"/>
  <c r="CY39" i="2"/>
  <c r="DD39" i="2"/>
  <c r="DE39" i="2"/>
  <c r="DL39" i="2"/>
  <c r="DQ39" i="2"/>
  <c r="DS39" i="2"/>
  <c r="DU39" i="2"/>
  <c r="DV39" i="2"/>
  <c r="DW39" i="2"/>
  <c r="DX39" i="2"/>
  <c r="DY39" i="2"/>
  <c r="DZ39" i="2"/>
  <c r="FE39" i="2"/>
  <c r="FF39" i="2"/>
  <c r="FG39" i="2"/>
  <c r="FH39" i="2"/>
  <c r="FI39" i="2"/>
  <c r="FJ39" i="2"/>
  <c r="FK39" i="2"/>
  <c r="FL39" i="2"/>
  <c r="FP39" i="2"/>
  <c r="FQ39" i="2"/>
  <c r="FS39" i="2"/>
  <c r="FT39" i="2"/>
  <c r="FV39" i="2"/>
  <c r="FW39" i="2"/>
  <c r="FX39" i="2"/>
  <c r="FY39" i="2"/>
  <c r="FZ39" i="2"/>
  <c r="GA39" i="2"/>
  <c r="GB39" i="2"/>
  <c r="GC39" i="2"/>
  <c r="GE39" i="2"/>
  <c r="GF39" i="2"/>
  <c r="GG39" i="2"/>
  <c r="GH39" i="2"/>
  <c r="GI39" i="2"/>
  <c r="GJ39" i="2"/>
  <c r="GK39" i="2"/>
  <c r="GL39" i="2"/>
  <c r="GM39" i="2"/>
  <c r="GN39" i="2"/>
  <c r="GO39" i="2"/>
  <c r="GP39" i="2"/>
  <c r="GQ39" i="2"/>
  <c r="GR39" i="2"/>
  <c r="GS39" i="2"/>
  <c r="GT39" i="2"/>
  <c r="GU39" i="2"/>
  <c r="GV39" i="2"/>
  <c r="GW39" i="2"/>
  <c r="C40" i="2"/>
  <c r="D40" i="2"/>
  <c r="E40" i="2"/>
  <c r="S40" i="2"/>
  <c r="T40" i="2"/>
  <c r="U40" i="2"/>
  <c r="V40" i="2"/>
  <c r="W40" i="2"/>
  <c r="X40" i="2"/>
  <c r="Y40" i="2"/>
  <c r="Z40" i="2"/>
  <c r="AA40" i="2"/>
  <c r="AB40" i="2"/>
  <c r="AD40" i="2"/>
  <c r="AE40" i="2"/>
  <c r="AF40" i="2"/>
  <c r="AG40" i="2"/>
  <c r="AH40" i="2"/>
  <c r="AJ40" i="2"/>
  <c r="AK40" i="2"/>
  <c r="AL40" i="2"/>
  <c r="AM40" i="2"/>
  <c r="AN40" i="2"/>
  <c r="AO40" i="2"/>
  <c r="AP40" i="2"/>
  <c r="AQ40" i="2"/>
  <c r="AS40" i="2"/>
  <c r="AT40" i="2"/>
  <c r="AU40" i="2"/>
  <c r="AW40" i="2"/>
  <c r="AX40" i="2"/>
  <c r="AY40" i="2"/>
  <c r="AZ40" i="2"/>
  <c r="BB40" i="2"/>
  <c r="BC40" i="2"/>
  <c r="BE40" i="2"/>
  <c r="BF40" i="2"/>
  <c r="BH40" i="2"/>
  <c r="BI40" i="2"/>
  <c r="BK40" i="2"/>
  <c r="CS40" i="2"/>
  <c r="CT40" i="2"/>
  <c r="CU40" i="2"/>
  <c r="CV40" i="2"/>
  <c r="CW40" i="2"/>
  <c r="CX40" i="2"/>
  <c r="CY40" i="2"/>
  <c r="DD40" i="2"/>
  <c r="DE40" i="2"/>
  <c r="DL40" i="2"/>
  <c r="DQ40" i="2"/>
  <c r="DS40" i="2"/>
  <c r="DU40" i="2"/>
  <c r="DV40" i="2"/>
  <c r="DW40" i="2"/>
  <c r="DX40" i="2"/>
  <c r="DY40" i="2"/>
  <c r="DZ40" i="2"/>
  <c r="FE40" i="2"/>
  <c r="FF40" i="2"/>
  <c r="FG40" i="2"/>
  <c r="FH40" i="2"/>
  <c r="FI40" i="2"/>
  <c r="FJ40" i="2"/>
  <c r="FK40" i="2"/>
  <c r="FL40" i="2"/>
  <c r="FP40" i="2"/>
  <c r="FQ40" i="2"/>
  <c r="FS40" i="2"/>
  <c r="FT40" i="2"/>
  <c r="FV40" i="2"/>
  <c r="FW40" i="2"/>
  <c r="FX40" i="2"/>
  <c r="FY40" i="2"/>
  <c r="FZ40" i="2"/>
  <c r="GA40" i="2"/>
  <c r="GB40" i="2"/>
  <c r="GC40" i="2"/>
  <c r="GE40" i="2"/>
  <c r="GF40" i="2"/>
  <c r="GG40" i="2"/>
  <c r="GH40" i="2"/>
  <c r="GI40" i="2"/>
  <c r="GJ40" i="2"/>
  <c r="GK40" i="2"/>
  <c r="GL40" i="2"/>
  <c r="GM40" i="2"/>
  <c r="GN40" i="2"/>
  <c r="GO40" i="2"/>
  <c r="GP40" i="2"/>
  <c r="GQ40" i="2"/>
  <c r="GR40" i="2"/>
  <c r="GS40" i="2"/>
  <c r="GT40" i="2"/>
  <c r="GU40" i="2"/>
  <c r="GV40" i="2"/>
  <c r="GW40" i="2"/>
  <c r="C41" i="2"/>
  <c r="D41" i="2"/>
  <c r="E41" i="2"/>
  <c r="S41" i="2"/>
  <c r="T41" i="2"/>
  <c r="U41" i="2"/>
  <c r="V41" i="2"/>
  <c r="W41" i="2"/>
  <c r="X41" i="2"/>
  <c r="Y41" i="2"/>
  <c r="Z41" i="2"/>
  <c r="AA41" i="2"/>
  <c r="AB41" i="2"/>
  <c r="AD41" i="2"/>
  <c r="AE41" i="2"/>
  <c r="AF41" i="2"/>
  <c r="AG41" i="2"/>
  <c r="AH41" i="2"/>
  <c r="AJ41" i="2"/>
  <c r="AK41" i="2"/>
  <c r="AL41" i="2"/>
  <c r="AM41" i="2"/>
  <c r="AN41" i="2"/>
  <c r="AO41" i="2"/>
  <c r="AP41" i="2"/>
  <c r="AQ41" i="2"/>
  <c r="AS41" i="2"/>
  <c r="AT41" i="2"/>
  <c r="AU41" i="2"/>
  <c r="AW41" i="2"/>
  <c r="AX41" i="2"/>
  <c r="AY41" i="2"/>
  <c r="AZ41" i="2"/>
  <c r="BB41" i="2"/>
  <c r="BC41" i="2"/>
  <c r="BE41" i="2"/>
  <c r="BF41" i="2"/>
  <c r="BH41" i="2"/>
  <c r="BI41" i="2"/>
  <c r="BK41" i="2"/>
  <c r="CS41" i="2"/>
  <c r="CT41" i="2"/>
  <c r="CU41" i="2"/>
  <c r="CV41" i="2"/>
  <c r="CW41" i="2"/>
  <c r="CX41" i="2"/>
  <c r="CY41" i="2"/>
  <c r="DD41" i="2"/>
  <c r="DE41" i="2"/>
  <c r="DL41" i="2"/>
  <c r="DQ41" i="2"/>
  <c r="DS41" i="2"/>
  <c r="DU41" i="2"/>
  <c r="DV41" i="2"/>
  <c r="DW41" i="2"/>
  <c r="DX41" i="2"/>
  <c r="DY41" i="2"/>
  <c r="DZ41" i="2"/>
  <c r="FE41" i="2"/>
  <c r="FF41" i="2"/>
  <c r="FG41" i="2"/>
  <c r="FH41" i="2"/>
  <c r="FI41" i="2"/>
  <c r="FJ41" i="2"/>
  <c r="FK41" i="2"/>
  <c r="FL41" i="2"/>
  <c r="FP41" i="2"/>
  <c r="FQ41" i="2"/>
  <c r="FS41" i="2"/>
  <c r="FT41" i="2"/>
  <c r="FV41" i="2"/>
  <c r="FW41" i="2"/>
  <c r="FX41" i="2"/>
  <c r="FY41" i="2"/>
  <c r="FZ41" i="2"/>
  <c r="GA41" i="2"/>
  <c r="GB41" i="2"/>
  <c r="GC41" i="2"/>
  <c r="GE41" i="2"/>
  <c r="GF41" i="2"/>
  <c r="GG41" i="2"/>
  <c r="GH41" i="2"/>
  <c r="GI41" i="2"/>
  <c r="GJ41" i="2"/>
  <c r="GK41" i="2"/>
  <c r="GL41" i="2"/>
  <c r="GM41" i="2"/>
  <c r="GN41" i="2"/>
  <c r="GO41" i="2"/>
  <c r="GP41" i="2"/>
  <c r="GQ41" i="2"/>
  <c r="GR41" i="2"/>
  <c r="GS41" i="2"/>
  <c r="GT41" i="2"/>
  <c r="GU41" i="2"/>
  <c r="GV41" i="2"/>
  <c r="GW41" i="2"/>
  <c r="C42" i="2"/>
  <c r="D42" i="2"/>
  <c r="E42" i="2"/>
  <c r="S42" i="2"/>
  <c r="T42" i="2"/>
  <c r="U42" i="2"/>
  <c r="V42" i="2"/>
  <c r="W42" i="2"/>
  <c r="X42" i="2"/>
  <c r="Y42" i="2"/>
  <c r="Z42" i="2"/>
  <c r="AA42" i="2"/>
  <c r="AB42" i="2"/>
  <c r="AD42" i="2"/>
  <c r="AE42" i="2"/>
  <c r="AF42" i="2"/>
  <c r="AG42" i="2"/>
  <c r="AH42" i="2"/>
  <c r="AJ42" i="2"/>
  <c r="AK42" i="2"/>
  <c r="AL42" i="2"/>
  <c r="AM42" i="2"/>
  <c r="AN42" i="2"/>
  <c r="AO42" i="2"/>
  <c r="AP42" i="2"/>
  <c r="AQ42" i="2"/>
  <c r="AS42" i="2"/>
  <c r="AT42" i="2"/>
  <c r="AU42" i="2"/>
  <c r="AW42" i="2"/>
  <c r="AX42" i="2"/>
  <c r="AY42" i="2"/>
  <c r="AZ42" i="2"/>
  <c r="BB42" i="2"/>
  <c r="BC42" i="2"/>
  <c r="BE42" i="2"/>
  <c r="BF42" i="2"/>
  <c r="BH42" i="2"/>
  <c r="BI42" i="2"/>
  <c r="BK42" i="2"/>
  <c r="CS42" i="2"/>
  <c r="CT42" i="2"/>
  <c r="CU42" i="2"/>
  <c r="CV42" i="2"/>
  <c r="CW42" i="2"/>
  <c r="CX42" i="2"/>
  <c r="CY42" i="2"/>
  <c r="DD42" i="2"/>
  <c r="DE42" i="2"/>
  <c r="DL42" i="2"/>
  <c r="DQ42" i="2"/>
  <c r="DS42" i="2"/>
  <c r="DU42" i="2"/>
  <c r="DV42" i="2"/>
  <c r="DW42" i="2"/>
  <c r="DX42" i="2"/>
  <c r="DY42" i="2"/>
  <c r="DZ42" i="2"/>
  <c r="FE42" i="2"/>
  <c r="FF42" i="2"/>
  <c r="FG42" i="2"/>
  <c r="FH42" i="2"/>
  <c r="FI42" i="2"/>
  <c r="FJ42" i="2"/>
  <c r="FK42" i="2"/>
  <c r="FL42" i="2"/>
  <c r="FP42" i="2"/>
  <c r="FQ42" i="2"/>
  <c r="FS42" i="2"/>
  <c r="FT42" i="2"/>
  <c r="FV42" i="2"/>
  <c r="FW42" i="2"/>
  <c r="FX42" i="2"/>
  <c r="FY42" i="2"/>
  <c r="FZ42" i="2"/>
  <c r="GA42" i="2"/>
  <c r="GB42" i="2"/>
  <c r="GC42" i="2"/>
  <c r="GE42" i="2"/>
  <c r="GF42" i="2"/>
  <c r="GG42" i="2"/>
  <c r="GH42" i="2"/>
  <c r="GI42" i="2"/>
  <c r="GJ42" i="2"/>
  <c r="GK42" i="2"/>
  <c r="GL42" i="2"/>
  <c r="GM42" i="2"/>
  <c r="GN42" i="2"/>
  <c r="GO42" i="2"/>
  <c r="GP42" i="2"/>
  <c r="GQ42" i="2"/>
  <c r="GR42" i="2"/>
  <c r="GS42" i="2"/>
  <c r="GT42" i="2"/>
  <c r="GU42" i="2"/>
  <c r="GV42" i="2"/>
  <c r="GW42" i="2"/>
  <c r="C43" i="2"/>
  <c r="D43" i="2"/>
  <c r="E43" i="2"/>
  <c r="S43" i="2"/>
  <c r="T43" i="2"/>
  <c r="U43" i="2"/>
  <c r="V43" i="2"/>
  <c r="W43" i="2"/>
  <c r="X43" i="2"/>
  <c r="Y43" i="2"/>
  <c r="Z43" i="2"/>
  <c r="AA43" i="2"/>
  <c r="AB43" i="2"/>
  <c r="AD43" i="2"/>
  <c r="AE43" i="2"/>
  <c r="AF43" i="2"/>
  <c r="AG43" i="2"/>
  <c r="AH43" i="2"/>
  <c r="AJ43" i="2"/>
  <c r="AK43" i="2"/>
  <c r="AL43" i="2"/>
  <c r="AM43" i="2"/>
  <c r="AN43" i="2"/>
  <c r="AO43" i="2"/>
  <c r="AP43" i="2"/>
  <c r="AQ43" i="2"/>
  <c r="AS43" i="2"/>
  <c r="AT43" i="2"/>
  <c r="AU43" i="2"/>
  <c r="AW43" i="2"/>
  <c r="AX43" i="2"/>
  <c r="AY43" i="2"/>
  <c r="AZ43" i="2"/>
  <c r="BB43" i="2"/>
  <c r="BC43" i="2"/>
  <c r="BE43" i="2"/>
  <c r="BF43" i="2"/>
  <c r="BH43" i="2"/>
  <c r="BI43" i="2"/>
  <c r="BK43" i="2"/>
  <c r="CS43" i="2"/>
  <c r="CT43" i="2"/>
  <c r="CU43" i="2"/>
  <c r="CV43" i="2"/>
  <c r="CW43" i="2"/>
  <c r="CX43" i="2"/>
  <c r="CY43" i="2"/>
  <c r="DD43" i="2"/>
  <c r="DE43" i="2"/>
  <c r="DL43" i="2"/>
  <c r="DQ43" i="2"/>
  <c r="DS43" i="2"/>
  <c r="DU43" i="2"/>
  <c r="DV43" i="2"/>
  <c r="DW43" i="2"/>
  <c r="DX43" i="2"/>
  <c r="DY43" i="2"/>
  <c r="DZ43" i="2"/>
  <c r="FE43" i="2"/>
  <c r="FF43" i="2"/>
  <c r="FG43" i="2"/>
  <c r="FH43" i="2"/>
  <c r="FI43" i="2"/>
  <c r="FJ43" i="2"/>
  <c r="FK43" i="2"/>
  <c r="FL43" i="2"/>
  <c r="FP43" i="2"/>
  <c r="FQ43" i="2"/>
  <c r="FS43" i="2"/>
  <c r="FT43" i="2"/>
  <c r="FV43" i="2"/>
  <c r="FW43" i="2"/>
  <c r="FX43" i="2"/>
  <c r="FY43" i="2"/>
  <c r="FZ43" i="2"/>
  <c r="GA43" i="2"/>
  <c r="GB43" i="2"/>
  <c r="GC43" i="2"/>
  <c r="GE43" i="2"/>
  <c r="GF43" i="2"/>
  <c r="GG43" i="2"/>
  <c r="GH43" i="2"/>
  <c r="GI43" i="2"/>
  <c r="GJ43" i="2"/>
  <c r="GK43" i="2"/>
  <c r="GL43" i="2"/>
  <c r="GM43" i="2"/>
  <c r="GN43" i="2"/>
  <c r="GO43" i="2"/>
  <c r="GP43" i="2"/>
  <c r="GQ43" i="2"/>
  <c r="GR43" i="2"/>
  <c r="GS43" i="2"/>
  <c r="GT43" i="2"/>
  <c r="GU43" i="2"/>
  <c r="GV43" i="2"/>
  <c r="GW43" i="2"/>
  <c r="C44" i="2"/>
  <c r="D44" i="2"/>
  <c r="E44" i="2"/>
  <c r="S44" i="2"/>
  <c r="T44" i="2"/>
  <c r="U44" i="2"/>
  <c r="V44" i="2"/>
  <c r="W44" i="2"/>
  <c r="X44" i="2"/>
  <c r="Y44" i="2"/>
  <c r="Z44" i="2"/>
  <c r="AA44" i="2"/>
  <c r="AB44" i="2"/>
  <c r="AD44" i="2"/>
  <c r="AE44" i="2"/>
  <c r="AF44" i="2"/>
  <c r="AG44" i="2"/>
  <c r="AH44" i="2"/>
  <c r="AJ44" i="2"/>
  <c r="AK44" i="2"/>
  <c r="AL44" i="2"/>
  <c r="AM44" i="2"/>
  <c r="AN44" i="2"/>
  <c r="AO44" i="2"/>
  <c r="AP44" i="2"/>
  <c r="AQ44" i="2"/>
  <c r="AS44" i="2"/>
  <c r="AT44" i="2"/>
  <c r="AU44" i="2"/>
  <c r="AW44" i="2"/>
  <c r="AX44" i="2"/>
  <c r="AY44" i="2"/>
  <c r="AZ44" i="2"/>
  <c r="BB44" i="2"/>
  <c r="BC44" i="2"/>
  <c r="BE44" i="2"/>
  <c r="BF44" i="2"/>
  <c r="BH44" i="2"/>
  <c r="BI44" i="2"/>
  <c r="BK44" i="2"/>
  <c r="CS44" i="2"/>
  <c r="CT44" i="2"/>
  <c r="CU44" i="2"/>
  <c r="CV44" i="2"/>
  <c r="CW44" i="2"/>
  <c r="CX44" i="2"/>
  <c r="CY44" i="2"/>
  <c r="DD44" i="2"/>
  <c r="DE44" i="2"/>
  <c r="DL44" i="2"/>
  <c r="DQ44" i="2"/>
  <c r="DS44" i="2"/>
  <c r="DU44" i="2"/>
  <c r="DV44" i="2"/>
  <c r="DW44" i="2"/>
  <c r="DX44" i="2"/>
  <c r="DY44" i="2"/>
  <c r="DZ44" i="2"/>
  <c r="FE44" i="2"/>
  <c r="FF44" i="2"/>
  <c r="FG44" i="2"/>
  <c r="FH44" i="2"/>
  <c r="FI44" i="2"/>
  <c r="FJ44" i="2"/>
  <c r="FK44" i="2"/>
  <c r="FL44" i="2"/>
  <c r="FP44" i="2"/>
  <c r="FQ44" i="2"/>
  <c r="FS44" i="2"/>
  <c r="FT44" i="2"/>
  <c r="FV44" i="2"/>
  <c r="FW44" i="2"/>
  <c r="FX44" i="2"/>
  <c r="FY44" i="2"/>
  <c r="FZ44" i="2"/>
  <c r="GA44" i="2"/>
  <c r="GB44" i="2"/>
  <c r="GC44" i="2"/>
  <c r="GE44" i="2"/>
  <c r="GF44" i="2"/>
  <c r="GG44" i="2"/>
  <c r="GH44" i="2"/>
  <c r="GI44" i="2"/>
  <c r="GJ44" i="2"/>
  <c r="GK44" i="2"/>
  <c r="GL44" i="2"/>
  <c r="GM44" i="2"/>
  <c r="GN44" i="2"/>
  <c r="GO44" i="2"/>
  <c r="GP44" i="2"/>
  <c r="GQ44" i="2"/>
  <c r="GR44" i="2"/>
  <c r="GS44" i="2"/>
  <c r="GT44" i="2"/>
  <c r="GU44" i="2"/>
  <c r="GV44" i="2"/>
  <c r="GW44" i="2"/>
  <c r="C45" i="2"/>
  <c r="D45" i="2"/>
  <c r="E45" i="2"/>
  <c r="S45" i="2"/>
  <c r="T45" i="2"/>
  <c r="U45" i="2"/>
  <c r="V45" i="2"/>
  <c r="W45" i="2"/>
  <c r="X45" i="2"/>
  <c r="Y45" i="2"/>
  <c r="Z45" i="2"/>
  <c r="AA45" i="2"/>
  <c r="AB45" i="2"/>
  <c r="AD45" i="2"/>
  <c r="AE45" i="2"/>
  <c r="AF45" i="2"/>
  <c r="AG45" i="2"/>
  <c r="AH45" i="2"/>
  <c r="AJ45" i="2"/>
  <c r="AK45" i="2"/>
  <c r="AL45" i="2"/>
  <c r="AM45" i="2"/>
  <c r="AN45" i="2"/>
  <c r="AO45" i="2"/>
  <c r="AP45" i="2"/>
  <c r="AQ45" i="2"/>
  <c r="AS45" i="2"/>
  <c r="AT45" i="2"/>
  <c r="AU45" i="2"/>
  <c r="AW45" i="2"/>
  <c r="AX45" i="2"/>
  <c r="AY45" i="2"/>
  <c r="AZ45" i="2"/>
  <c r="BB45" i="2"/>
  <c r="BC45" i="2"/>
  <c r="BE45" i="2"/>
  <c r="BF45" i="2"/>
  <c r="BH45" i="2"/>
  <c r="BI45" i="2"/>
  <c r="BK45" i="2"/>
  <c r="CS45" i="2"/>
  <c r="CT45" i="2"/>
  <c r="CU45" i="2"/>
  <c r="CV45" i="2"/>
  <c r="CW45" i="2"/>
  <c r="CX45" i="2"/>
  <c r="CY45" i="2"/>
  <c r="DD45" i="2"/>
  <c r="DE45" i="2"/>
  <c r="DL45" i="2"/>
  <c r="DQ45" i="2"/>
  <c r="DS45" i="2"/>
  <c r="DU45" i="2"/>
  <c r="DV45" i="2"/>
  <c r="DW45" i="2"/>
  <c r="DX45" i="2"/>
  <c r="DY45" i="2"/>
  <c r="DZ45" i="2"/>
  <c r="FE45" i="2"/>
  <c r="FF45" i="2"/>
  <c r="FG45" i="2"/>
  <c r="FH45" i="2"/>
  <c r="FI45" i="2"/>
  <c r="FJ45" i="2"/>
  <c r="FK45" i="2"/>
  <c r="FL45" i="2"/>
  <c r="FP45" i="2"/>
  <c r="FQ45" i="2"/>
  <c r="FS45" i="2"/>
  <c r="FT45" i="2"/>
  <c r="FV45" i="2"/>
  <c r="FW45" i="2"/>
  <c r="FX45" i="2"/>
  <c r="FY45" i="2"/>
  <c r="FZ45" i="2"/>
  <c r="GA45" i="2"/>
  <c r="GB45" i="2"/>
  <c r="GC45" i="2"/>
  <c r="GE45" i="2"/>
  <c r="GF45" i="2"/>
  <c r="GG45" i="2"/>
  <c r="GH45" i="2"/>
  <c r="GI45" i="2"/>
  <c r="GJ45" i="2"/>
  <c r="GK45" i="2"/>
  <c r="GL45" i="2"/>
  <c r="GM45" i="2"/>
  <c r="GN45" i="2"/>
  <c r="GO45" i="2"/>
  <c r="GP45" i="2"/>
  <c r="GQ45" i="2"/>
  <c r="GR45" i="2"/>
  <c r="GS45" i="2"/>
  <c r="GT45" i="2"/>
  <c r="GU45" i="2"/>
  <c r="GV45" i="2"/>
  <c r="GW45" i="2"/>
  <c r="C46" i="2"/>
  <c r="D46" i="2"/>
  <c r="E46" i="2"/>
  <c r="S46" i="2"/>
  <c r="T46" i="2"/>
  <c r="U46" i="2"/>
  <c r="V46" i="2"/>
  <c r="W46" i="2"/>
  <c r="X46" i="2"/>
  <c r="Y46" i="2"/>
  <c r="Z46" i="2"/>
  <c r="AA46" i="2"/>
  <c r="AB46" i="2"/>
  <c r="AD46" i="2"/>
  <c r="AE46" i="2"/>
  <c r="AF46" i="2"/>
  <c r="AG46" i="2"/>
  <c r="AH46" i="2"/>
  <c r="AJ46" i="2"/>
  <c r="AK46" i="2"/>
  <c r="AL46" i="2"/>
  <c r="AM46" i="2"/>
  <c r="AN46" i="2"/>
  <c r="AO46" i="2"/>
  <c r="AP46" i="2"/>
  <c r="AQ46" i="2"/>
  <c r="AS46" i="2"/>
  <c r="AT46" i="2"/>
  <c r="AU46" i="2"/>
  <c r="AW46" i="2"/>
  <c r="AX46" i="2"/>
  <c r="AY46" i="2"/>
  <c r="AZ46" i="2"/>
  <c r="BB46" i="2"/>
  <c r="BC46" i="2"/>
  <c r="BE46" i="2"/>
  <c r="BF46" i="2"/>
  <c r="BH46" i="2"/>
  <c r="BI46" i="2"/>
  <c r="BK46" i="2"/>
  <c r="CS46" i="2"/>
  <c r="CT46" i="2"/>
  <c r="CU46" i="2"/>
  <c r="CV46" i="2"/>
  <c r="CW46" i="2"/>
  <c r="CX46" i="2"/>
  <c r="CY46" i="2"/>
  <c r="DD46" i="2"/>
  <c r="DE46" i="2"/>
  <c r="DL46" i="2"/>
  <c r="DQ46" i="2"/>
  <c r="DS46" i="2"/>
  <c r="DU46" i="2"/>
  <c r="DV46" i="2"/>
  <c r="DW46" i="2"/>
  <c r="DX46" i="2"/>
  <c r="DY46" i="2"/>
  <c r="DZ46" i="2"/>
  <c r="FE46" i="2"/>
  <c r="FF46" i="2"/>
  <c r="FG46" i="2"/>
  <c r="FH46" i="2"/>
  <c r="FI46" i="2"/>
  <c r="FJ46" i="2"/>
  <c r="FK46" i="2"/>
  <c r="FL46" i="2"/>
  <c r="FP46" i="2"/>
  <c r="FQ46" i="2"/>
  <c r="FS46" i="2"/>
  <c r="FT46" i="2"/>
  <c r="FV46" i="2"/>
  <c r="FW46" i="2"/>
  <c r="FX46" i="2"/>
  <c r="FY46" i="2"/>
  <c r="FZ46" i="2"/>
  <c r="GA46" i="2"/>
  <c r="GB46" i="2"/>
  <c r="GC46" i="2"/>
  <c r="GE46" i="2"/>
  <c r="GF46" i="2"/>
  <c r="GG46" i="2"/>
  <c r="GH46" i="2"/>
  <c r="GI46" i="2"/>
  <c r="GJ46" i="2"/>
  <c r="GK46" i="2"/>
  <c r="GL46" i="2"/>
  <c r="GM46" i="2"/>
  <c r="GN46" i="2"/>
  <c r="GO46" i="2"/>
  <c r="GP46" i="2"/>
  <c r="GQ46" i="2"/>
  <c r="GR46" i="2"/>
  <c r="GS46" i="2"/>
  <c r="GT46" i="2"/>
  <c r="GU46" i="2"/>
  <c r="GV46" i="2"/>
  <c r="GW46" i="2"/>
  <c r="C47" i="2"/>
  <c r="D47" i="2"/>
  <c r="E47" i="2"/>
  <c r="S47" i="2"/>
  <c r="T47" i="2"/>
  <c r="U47" i="2"/>
  <c r="V47" i="2"/>
  <c r="W47" i="2"/>
  <c r="X47" i="2"/>
  <c r="Y47" i="2"/>
  <c r="Z47" i="2"/>
  <c r="AA47" i="2"/>
  <c r="AB47" i="2"/>
  <c r="AD47" i="2"/>
  <c r="AE47" i="2"/>
  <c r="AF47" i="2"/>
  <c r="AG47" i="2"/>
  <c r="AH47" i="2"/>
  <c r="AJ47" i="2"/>
  <c r="AK47" i="2"/>
  <c r="AL47" i="2"/>
  <c r="AM47" i="2"/>
  <c r="AN47" i="2"/>
  <c r="AO47" i="2"/>
  <c r="AP47" i="2"/>
  <c r="AQ47" i="2"/>
  <c r="AS47" i="2"/>
  <c r="AT47" i="2"/>
  <c r="AU47" i="2"/>
  <c r="AW47" i="2"/>
  <c r="AX47" i="2"/>
  <c r="AY47" i="2"/>
  <c r="AZ47" i="2"/>
  <c r="BB47" i="2"/>
  <c r="BC47" i="2"/>
  <c r="BE47" i="2"/>
  <c r="BF47" i="2"/>
  <c r="BH47" i="2"/>
  <c r="BI47" i="2"/>
  <c r="BK47" i="2"/>
  <c r="CS47" i="2"/>
  <c r="CT47" i="2"/>
  <c r="CU47" i="2"/>
  <c r="CV47" i="2"/>
  <c r="CW47" i="2"/>
  <c r="CX47" i="2"/>
  <c r="CY47" i="2"/>
  <c r="DD47" i="2"/>
  <c r="DE47" i="2"/>
  <c r="DL47" i="2"/>
  <c r="DQ47" i="2"/>
  <c r="DS47" i="2"/>
  <c r="DU47" i="2"/>
  <c r="DV47" i="2"/>
  <c r="DW47" i="2"/>
  <c r="DX47" i="2"/>
  <c r="DY47" i="2"/>
  <c r="DZ47" i="2"/>
  <c r="FE47" i="2"/>
  <c r="FF47" i="2"/>
  <c r="FG47" i="2"/>
  <c r="FH47" i="2"/>
  <c r="FI47" i="2"/>
  <c r="FJ47" i="2"/>
  <c r="FK47" i="2"/>
  <c r="FL47" i="2"/>
  <c r="FP47" i="2"/>
  <c r="FQ47" i="2"/>
  <c r="FS47" i="2"/>
  <c r="FT47" i="2"/>
  <c r="FV47" i="2"/>
  <c r="FW47" i="2"/>
  <c r="FX47" i="2"/>
  <c r="FY47" i="2"/>
  <c r="FZ47" i="2"/>
  <c r="GA47" i="2"/>
  <c r="GB47" i="2"/>
  <c r="GC47" i="2"/>
  <c r="GE47" i="2"/>
  <c r="GF47" i="2"/>
  <c r="GG47" i="2"/>
  <c r="GH47" i="2"/>
  <c r="GI47" i="2"/>
  <c r="GJ47" i="2"/>
  <c r="GK47" i="2"/>
  <c r="GL47" i="2"/>
  <c r="GM47" i="2"/>
  <c r="GN47" i="2"/>
  <c r="GO47" i="2"/>
  <c r="GP47" i="2"/>
  <c r="GQ47" i="2"/>
  <c r="GR47" i="2"/>
  <c r="GS47" i="2"/>
  <c r="GT47" i="2"/>
  <c r="GU47" i="2"/>
  <c r="GV47" i="2"/>
  <c r="GW47" i="2"/>
  <c r="C48" i="2"/>
  <c r="D48" i="2"/>
  <c r="E48" i="2"/>
  <c r="S48" i="2"/>
  <c r="T48" i="2"/>
  <c r="U48" i="2"/>
  <c r="V48" i="2"/>
  <c r="W48" i="2"/>
  <c r="X48" i="2"/>
  <c r="Y48" i="2"/>
  <c r="Z48" i="2"/>
  <c r="AA48" i="2"/>
  <c r="AB48" i="2"/>
  <c r="AD48" i="2"/>
  <c r="AE48" i="2"/>
  <c r="AF48" i="2"/>
  <c r="AG48" i="2"/>
  <c r="AH48" i="2"/>
  <c r="AJ48" i="2"/>
  <c r="AK48" i="2"/>
  <c r="AL48" i="2"/>
  <c r="AM48" i="2"/>
  <c r="AN48" i="2"/>
  <c r="AO48" i="2"/>
  <c r="AP48" i="2"/>
  <c r="AQ48" i="2"/>
  <c r="AS48" i="2"/>
  <c r="AT48" i="2"/>
  <c r="AU48" i="2"/>
  <c r="AW48" i="2"/>
  <c r="AX48" i="2"/>
  <c r="AY48" i="2"/>
  <c r="AZ48" i="2"/>
  <c r="BB48" i="2"/>
  <c r="BC48" i="2"/>
  <c r="BE48" i="2"/>
  <c r="BF48" i="2"/>
  <c r="BH48" i="2"/>
  <c r="BI48" i="2"/>
  <c r="BK48" i="2"/>
  <c r="CS48" i="2"/>
  <c r="CT48" i="2"/>
  <c r="CU48" i="2"/>
  <c r="CV48" i="2"/>
  <c r="CW48" i="2"/>
  <c r="CX48" i="2"/>
  <c r="CY48" i="2"/>
  <c r="DD48" i="2"/>
  <c r="DE48" i="2"/>
  <c r="DL48" i="2"/>
  <c r="DQ48" i="2"/>
  <c r="DS48" i="2"/>
  <c r="DU48" i="2"/>
  <c r="DV48" i="2"/>
  <c r="DW48" i="2"/>
  <c r="DX48" i="2"/>
  <c r="DY48" i="2"/>
  <c r="DZ48" i="2"/>
  <c r="FE48" i="2"/>
  <c r="FF48" i="2"/>
  <c r="FG48" i="2"/>
  <c r="FH48" i="2"/>
  <c r="FI48" i="2"/>
  <c r="FJ48" i="2"/>
  <c r="FK48" i="2"/>
  <c r="FL48" i="2"/>
  <c r="FP48" i="2"/>
  <c r="FQ48" i="2"/>
  <c r="FS48" i="2"/>
  <c r="FT48" i="2"/>
  <c r="FV48" i="2"/>
  <c r="FW48" i="2"/>
  <c r="FX48" i="2"/>
  <c r="FY48" i="2"/>
  <c r="FZ48" i="2"/>
  <c r="GA48" i="2"/>
  <c r="GB48" i="2"/>
  <c r="GC48" i="2"/>
  <c r="GE48" i="2"/>
  <c r="GF48" i="2"/>
  <c r="GG48" i="2"/>
  <c r="GH48" i="2"/>
  <c r="GI48" i="2"/>
  <c r="GJ48" i="2"/>
  <c r="GK48" i="2"/>
  <c r="GL48" i="2"/>
  <c r="GM48" i="2"/>
  <c r="GN48" i="2"/>
  <c r="GO48" i="2"/>
  <c r="GP48" i="2"/>
  <c r="GQ48" i="2"/>
  <c r="GR48" i="2"/>
  <c r="GS48" i="2"/>
  <c r="GT48" i="2"/>
  <c r="GU48" i="2"/>
  <c r="GV48" i="2"/>
  <c r="GW48" i="2"/>
  <c r="C49" i="2"/>
  <c r="D49" i="2"/>
  <c r="E49" i="2"/>
  <c r="S49" i="2"/>
  <c r="T49" i="2"/>
  <c r="U49" i="2"/>
  <c r="V49" i="2"/>
  <c r="W49" i="2"/>
  <c r="X49" i="2"/>
  <c r="Y49" i="2"/>
  <c r="Z49" i="2"/>
  <c r="AA49" i="2"/>
  <c r="AB49" i="2"/>
  <c r="AD49" i="2"/>
  <c r="AE49" i="2"/>
  <c r="AF49" i="2"/>
  <c r="AG49" i="2"/>
  <c r="AH49" i="2"/>
  <c r="AJ49" i="2"/>
  <c r="AK49" i="2"/>
  <c r="AL49" i="2"/>
  <c r="AM49" i="2"/>
  <c r="AN49" i="2"/>
  <c r="AO49" i="2"/>
  <c r="AP49" i="2"/>
  <c r="AQ49" i="2"/>
  <c r="AS49" i="2"/>
  <c r="AT49" i="2"/>
  <c r="AU49" i="2"/>
  <c r="AW49" i="2"/>
  <c r="AX49" i="2"/>
  <c r="AY49" i="2"/>
  <c r="AZ49" i="2"/>
  <c r="BB49" i="2"/>
  <c r="BC49" i="2"/>
  <c r="BE49" i="2"/>
  <c r="BF49" i="2"/>
  <c r="BH49" i="2"/>
  <c r="BI49" i="2"/>
  <c r="BK49" i="2"/>
  <c r="CS49" i="2"/>
  <c r="CT49" i="2"/>
  <c r="CU49" i="2"/>
  <c r="CV49" i="2"/>
  <c r="CW49" i="2"/>
  <c r="CX49" i="2"/>
  <c r="CY49" i="2"/>
  <c r="DD49" i="2"/>
  <c r="DE49" i="2"/>
  <c r="DL49" i="2"/>
  <c r="DQ49" i="2"/>
  <c r="DS49" i="2"/>
  <c r="DU49" i="2"/>
  <c r="DV49" i="2"/>
  <c r="DW49" i="2"/>
  <c r="DX49" i="2"/>
  <c r="DY49" i="2"/>
  <c r="DZ49" i="2"/>
  <c r="FE49" i="2"/>
  <c r="FF49" i="2"/>
  <c r="FG49" i="2"/>
  <c r="FH49" i="2"/>
  <c r="FI49" i="2"/>
  <c r="FJ49" i="2"/>
  <c r="FK49" i="2"/>
  <c r="FL49" i="2"/>
  <c r="FP49" i="2"/>
  <c r="FQ49" i="2"/>
  <c r="FS49" i="2"/>
  <c r="FT49" i="2"/>
  <c r="FV49" i="2"/>
  <c r="FW49" i="2"/>
  <c r="FX49" i="2"/>
  <c r="FY49" i="2"/>
  <c r="FZ49" i="2"/>
  <c r="GA49" i="2"/>
  <c r="GB49" i="2"/>
  <c r="GC49" i="2"/>
  <c r="GE49" i="2"/>
  <c r="GF49" i="2"/>
  <c r="GG49" i="2"/>
  <c r="GH49" i="2"/>
  <c r="GI49" i="2"/>
  <c r="GJ49" i="2"/>
  <c r="GK49" i="2"/>
  <c r="GL49" i="2"/>
  <c r="GM49" i="2"/>
  <c r="GN49" i="2"/>
  <c r="GO49" i="2"/>
  <c r="GP49" i="2"/>
  <c r="GQ49" i="2"/>
  <c r="GR49" i="2"/>
  <c r="GS49" i="2"/>
  <c r="GT49" i="2"/>
  <c r="GU49" i="2"/>
  <c r="GV49" i="2"/>
  <c r="GW49" i="2"/>
  <c r="C50" i="2"/>
  <c r="D50" i="2"/>
  <c r="E50" i="2"/>
  <c r="S50" i="2"/>
  <c r="T50" i="2"/>
  <c r="U50" i="2"/>
  <c r="V50" i="2"/>
  <c r="W50" i="2"/>
  <c r="X50" i="2"/>
  <c r="Y50" i="2"/>
  <c r="Z50" i="2"/>
  <c r="AA50" i="2"/>
  <c r="AB50" i="2"/>
  <c r="AD50" i="2"/>
  <c r="AE50" i="2"/>
  <c r="AF50" i="2"/>
  <c r="AG50" i="2"/>
  <c r="AH50" i="2"/>
  <c r="AJ50" i="2"/>
  <c r="AK50" i="2"/>
  <c r="AL50" i="2"/>
  <c r="AM50" i="2"/>
  <c r="AN50" i="2"/>
  <c r="AO50" i="2"/>
  <c r="AP50" i="2"/>
  <c r="AQ50" i="2"/>
  <c r="AS50" i="2"/>
  <c r="AT50" i="2"/>
  <c r="AU50" i="2"/>
  <c r="AW50" i="2"/>
  <c r="AX50" i="2"/>
  <c r="AY50" i="2"/>
  <c r="AZ50" i="2"/>
  <c r="BB50" i="2"/>
  <c r="BC50" i="2"/>
  <c r="BE50" i="2"/>
  <c r="BF50" i="2"/>
  <c r="BH50" i="2"/>
  <c r="BI50" i="2"/>
  <c r="BK50" i="2"/>
  <c r="CS50" i="2"/>
  <c r="CT50" i="2"/>
  <c r="CU50" i="2"/>
  <c r="CV50" i="2"/>
  <c r="CW50" i="2"/>
  <c r="CX50" i="2"/>
  <c r="CY50" i="2"/>
  <c r="DD50" i="2"/>
  <c r="DE50" i="2"/>
  <c r="DL50" i="2"/>
  <c r="DQ50" i="2"/>
  <c r="DS50" i="2"/>
  <c r="DU50" i="2"/>
  <c r="DV50" i="2"/>
  <c r="DW50" i="2"/>
  <c r="DX50" i="2"/>
  <c r="DY50" i="2"/>
  <c r="DZ50" i="2"/>
  <c r="FE50" i="2"/>
  <c r="FF50" i="2"/>
  <c r="FG50" i="2"/>
  <c r="FH50" i="2"/>
  <c r="FI50" i="2"/>
  <c r="FJ50" i="2"/>
  <c r="FK50" i="2"/>
  <c r="FL50" i="2"/>
  <c r="FP50" i="2"/>
  <c r="FQ50" i="2"/>
  <c r="FS50" i="2"/>
  <c r="FT50" i="2"/>
  <c r="FV50" i="2"/>
  <c r="FW50" i="2"/>
  <c r="FX50" i="2"/>
  <c r="FY50" i="2"/>
  <c r="FZ50" i="2"/>
  <c r="GA50" i="2"/>
  <c r="GB50" i="2"/>
  <c r="GC50" i="2"/>
  <c r="GE50" i="2"/>
  <c r="GF50" i="2"/>
  <c r="GG50" i="2"/>
  <c r="GH50" i="2"/>
  <c r="GI50" i="2"/>
  <c r="GJ50" i="2"/>
  <c r="GK50" i="2"/>
  <c r="GL50" i="2"/>
  <c r="GM50" i="2"/>
  <c r="GN50" i="2"/>
  <c r="GO50" i="2"/>
  <c r="GP50" i="2"/>
  <c r="GQ50" i="2"/>
  <c r="GR50" i="2"/>
  <c r="GS50" i="2"/>
  <c r="GT50" i="2"/>
  <c r="GU50" i="2"/>
  <c r="GV50" i="2"/>
  <c r="GW50" i="2"/>
  <c r="C51" i="2"/>
  <c r="D51" i="2"/>
  <c r="E51" i="2"/>
  <c r="S51" i="2"/>
  <c r="T51" i="2"/>
  <c r="U51" i="2"/>
  <c r="V51" i="2"/>
  <c r="W51" i="2"/>
  <c r="X51" i="2"/>
  <c r="Y51" i="2"/>
  <c r="Z51" i="2"/>
  <c r="AA51" i="2"/>
  <c r="AB51" i="2"/>
  <c r="AD51" i="2"/>
  <c r="AE51" i="2"/>
  <c r="AF51" i="2"/>
  <c r="AG51" i="2"/>
  <c r="AH51" i="2"/>
  <c r="AJ51" i="2"/>
  <c r="AK51" i="2"/>
  <c r="AL51" i="2"/>
  <c r="AM51" i="2"/>
  <c r="AN51" i="2"/>
  <c r="AO51" i="2"/>
  <c r="AP51" i="2"/>
  <c r="AQ51" i="2"/>
  <c r="AS51" i="2"/>
  <c r="AT51" i="2"/>
  <c r="AU51" i="2"/>
  <c r="AW51" i="2"/>
  <c r="AX51" i="2"/>
  <c r="AY51" i="2"/>
  <c r="AZ51" i="2"/>
  <c r="BB51" i="2"/>
  <c r="BC51" i="2"/>
  <c r="BE51" i="2"/>
  <c r="BF51" i="2"/>
  <c r="BH51" i="2"/>
  <c r="BI51" i="2"/>
  <c r="BK51" i="2"/>
  <c r="CS51" i="2"/>
  <c r="CT51" i="2"/>
  <c r="CU51" i="2"/>
  <c r="CV51" i="2"/>
  <c r="CW51" i="2"/>
  <c r="CX51" i="2"/>
  <c r="CY51" i="2"/>
  <c r="DD51" i="2"/>
  <c r="DE51" i="2"/>
  <c r="DL51" i="2"/>
  <c r="DQ51" i="2"/>
  <c r="DS51" i="2"/>
  <c r="DU51" i="2"/>
  <c r="DV51" i="2"/>
  <c r="DW51" i="2"/>
  <c r="DX51" i="2"/>
  <c r="DY51" i="2"/>
  <c r="DZ51" i="2"/>
  <c r="FE51" i="2"/>
  <c r="FF51" i="2"/>
  <c r="FG51" i="2"/>
  <c r="FH51" i="2"/>
  <c r="FI51" i="2"/>
  <c r="FJ51" i="2"/>
  <c r="FK51" i="2"/>
  <c r="FL51" i="2"/>
  <c r="FP51" i="2"/>
  <c r="FQ51" i="2"/>
  <c r="FS51" i="2"/>
  <c r="FT51" i="2"/>
  <c r="FV51" i="2"/>
  <c r="FW51" i="2"/>
  <c r="FX51" i="2"/>
  <c r="FY51" i="2"/>
  <c r="FZ51" i="2"/>
  <c r="GA51" i="2"/>
  <c r="GB51" i="2"/>
  <c r="GC51" i="2"/>
  <c r="GE51" i="2"/>
  <c r="GF51" i="2"/>
  <c r="GG51" i="2"/>
  <c r="GH51" i="2"/>
  <c r="GI51" i="2"/>
  <c r="GJ51" i="2"/>
  <c r="GK51" i="2"/>
  <c r="GL51" i="2"/>
  <c r="GM51" i="2"/>
  <c r="GN51" i="2"/>
  <c r="GO51" i="2"/>
  <c r="GP51" i="2"/>
  <c r="GQ51" i="2"/>
  <c r="GR51" i="2"/>
  <c r="GS51" i="2"/>
  <c r="GT51" i="2"/>
  <c r="GU51" i="2"/>
  <c r="GV51" i="2"/>
  <c r="GW51" i="2"/>
  <c r="C52" i="2"/>
  <c r="D52" i="2"/>
  <c r="E52" i="2"/>
  <c r="S52" i="2"/>
  <c r="T52" i="2"/>
  <c r="U52" i="2"/>
  <c r="V52" i="2"/>
  <c r="W52" i="2"/>
  <c r="X52" i="2"/>
  <c r="Y52" i="2"/>
  <c r="Z52" i="2"/>
  <c r="AA52" i="2"/>
  <c r="AB52" i="2"/>
  <c r="AD52" i="2"/>
  <c r="AE52" i="2"/>
  <c r="AF52" i="2"/>
  <c r="AG52" i="2"/>
  <c r="AH52" i="2"/>
  <c r="AJ52" i="2"/>
  <c r="AK52" i="2"/>
  <c r="AL52" i="2"/>
  <c r="AM52" i="2"/>
  <c r="AN52" i="2"/>
  <c r="AO52" i="2"/>
  <c r="AP52" i="2"/>
  <c r="AQ52" i="2"/>
  <c r="AS52" i="2"/>
  <c r="AT52" i="2"/>
  <c r="AU52" i="2"/>
  <c r="AW52" i="2"/>
  <c r="AX52" i="2"/>
  <c r="AY52" i="2"/>
  <c r="AZ52" i="2"/>
  <c r="BB52" i="2"/>
  <c r="BC52" i="2"/>
  <c r="BE52" i="2"/>
  <c r="BF52" i="2"/>
  <c r="BH52" i="2"/>
  <c r="BI52" i="2"/>
  <c r="BK52" i="2"/>
  <c r="CS52" i="2"/>
  <c r="CT52" i="2"/>
  <c r="CU52" i="2"/>
  <c r="CV52" i="2"/>
  <c r="CW52" i="2"/>
  <c r="CX52" i="2"/>
  <c r="CY52" i="2"/>
  <c r="DD52" i="2"/>
  <c r="DE52" i="2"/>
  <c r="DL52" i="2"/>
  <c r="DQ52" i="2"/>
  <c r="DS52" i="2"/>
  <c r="DU52" i="2"/>
  <c r="DV52" i="2"/>
  <c r="DW52" i="2"/>
  <c r="DX52" i="2"/>
  <c r="DY52" i="2"/>
  <c r="DZ52" i="2"/>
  <c r="FE52" i="2"/>
  <c r="FF52" i="2"/>
  <c r="FG52" i="2"/>
  <c r="FH52" i="2"/>
  <c r="FI52" i="2"/>
  <c r="FJ52" i="2"/>
  <c r="FK52" i="2"/>
  <c r="FL52" i="2"/>
  <c r="FP52" i="2"/>
  <c r="FQ52" i="2"/>
  <c r="FS52" i="2"/>
  <c r="FT52" i="2"/>
  <c r="FV52" i="2"/>
  <c r="FW52" i="2"/>
  <c r="FX52" i="2"/>
  <c r="FY52" i="2"/>
  <c r="FZ52" i="2"/>
  <c r="GA52" i="2"/>
  <c r="GB52" i="2"/>
  <c r="GC52" i="2"/>
  <c r="GE52" i="2"/>
  <c r="GF52" i="2"/>
  <c r="GG52" i="2"/>
  <c r="GH52" i="2"/>
  <c r="GI52" i="2"/>
  <c r="GJ52" i="2"/>
  <c r="GK52" i="2"/>
  <c r="GL52" i="2"/>
  <c r="GM52" i="2"/>
  <c r="GN52" i="2"/>
  <c r="GO52" i="2"/>
  <c r="GP52" i="2"/>
  <c r="GQ52" i="2"/>
  <c r="GR52" i="2"/>
  <c r="GS52" i="2"/>
  <c r="GT52" i="2"/>
  <c r="GU52" i="2"/>
  <c r="GV52" i="2"/>
  <c r="GW52" i="2"/>
  <c r="C53" i="2"/>
  <c r="D53" i="2"/>
  <c r="E53" i="2"/>
  <c r="S53" i="2"/>
  <c r="T53" i="2"/>
  <c r="U53" i="2"/>
  <c r="V53" i="2"/>
  <c r="W53" i="2"/>
  <c r="X53" i="2"/>
  <c r="Y53" i="2"/>
  <c r="Z53" i="2"/>
  <c r="AA53" i="2"/>
  <c r="AB53" i="2"/>
  <c r="AD53" i="2"/>
  <c r="AE53" i="2"/>
  <c r="AF53" i="2"/>
  <c r="AG53" i="2"/>
  <c r="AH53" i="2"/>
  <c r="AJ53" i="2"/>
  <c r="AK53" i="2"/>
  <c r="AL53" i="2"/>
  <c r="AM53" i="2"/>
  <c r="AN53" i="2"/>
  <c r="AO53" i="2"/>
  <c r="AP53" i="2"/>
  <c r="AQ53" i="2"/>
  <c r="AS53" i="2"/>
  <c r="AT53" i="2"/>
  <c r="AU53" i="2"/>
  <c r="AW53" i="2"/>
  <c r="AX53" i="2"/>
  <c r="AY53" i="2"/>
  <c r="AZ53" i="2"/>
  <c r="BB53" i="2"/>
  <c r="BC53" i="2"/>
  <c r="BE53" i="2"/>
  <c r="BF53" i="2"/>
  <c r="BH53" i="2"/>
  <c r="BI53" i="2"/>
  <c r="BK53" i="2"/>
  <c r="CS53" i="2"/>
  <c r="CT53" i="2"/>
  <c r="CU53" i="2"/>
  <c r="CV53" i="2"/>
  <c r="CW53" i="2"/>
  <c r="CX53" i="2"/>
  <c r="CY53" i="2"/>
  <c r="DD53" i="2"/>
  <c r="DE53" i="2"/>
  <c r="DL53" i="2"/>
  <c r="DQ53" i="2"/>
  <c r="DS53" i="2"/>
  <c r="DU53" i="2"/>
  <c r="DV53" i="2"/>
  <c r="DW53" i="2"/>
  <c r="DX53" i="2"/>
  <c r="DY53" i="2"/>
  <c r="DZ53" i="2"/>
  <c r="FE53" i="2"/>
  <c r="FF53" i="2"/>
  <c r="FG53" i="2"/>
  <c r="FH53" i="2"/>
  <c r="FI53" i="2"/>
  <c r="FJ53" i="2"/>
  <c r="FK53" i="2"/>
  <c r="FL53" i="2"/>
  <c r="FP53" i="2"/>
  <c r="FQ53" i="2"/>
  <c r="FS53" i="2"/>
  <c r="FT53" i="2"/>
  <c r="FV53" i="2"/>
  <c r="FW53" i="2"/>
  <c r="FX53" i="2"/>
  <c r="FY53" i="2"/>
  <c r="FZ53" i="2"/>
  <c r="GA53" i="2"/>
  <c r="GB53" i="2"/>
  <c r="GC53" i="2"/>
  <c r="GE53" i="2"/>
  <c r="GF53" i="2"/>
  <c r="GG53" i="2"/>
  <c r="GH53" i="2"/>
  <c r="GI53" i="2"/>
  <c r="GJ53" i="2"/>
  <c r="GK53" i="2"/>
  <c r="GL53" i="2"/>
  <c r="GM53" i="2"/>
  <c r="GN53" i="2"/>
  <c r="GO53" i="2"/>
  <c r="GP53" i="2"/>
  <c r="GQ53" i="2"/>
  <c r="GR53" i="2"/>
  <c r="GS53" i="2"/>
  <c r="GT53" i="2"/>
  <c r="GU53" i="2"/>
  <c r="GV53" i="2"/>
  <c r="GW53" i="2"/>
  <c r="C54" i="2"/>
  <c r="D54" i="2"/>
  <c r="E54" i="2"/>
  <c r="S54" i="2"/>
  <c r="T54" i="2"/>
  <c r="U54" i="2"/>
  <c r="V54" i="2"/>
  <c r="W54" i="2"/>
  <c r="X54" i="2"/>
  <c r="Y54" i="2"/>
  <c r="Z54" i="2"/>
  <c r="AA54" i="2"/>
  <c r="AB54" i="2"/>
  <c r="AD54" i="2"/>
  <c r="AE54" i="2"/>
  <c r="AF54" i="2"/>
  <c r="AG54" i="2"/>
  <c r="AH54" i="2"/>
  <c r="AJ54" i="2"/>
  <c r="AK54" i="2"/>
  <c r="AL54" i="2"/>
  <c r="AM54" i="2"/>
  <c r="AN54" i="2"/>
  <c r="AO54" i="2"/>
  <c r="AP54" i="2"/>
  <c r="AQ54" i="2"/>
  <c r="AS54" i="2"/>
  <c r="AT54" i="2"/>
  <c r="AU54" i="2"/>
  <c r="AW54" i="2"/>
  <c r="AX54" i="2"/>
  <c r="AY54" i="2"/>
  <c r="AZ54" i="2"/>
  <c r="BB54" i="2"/>
  <c r="BC54" i="2"/>
  <c r="BE54" i="2"/>
  <c r="BF54" i="2"/>
  <c r="BH54" i="2"/>
  <c r="BI54" i="2"/>
  <c r="BK54" i="2"/>
  <c r="CS54" i="2"/>
  <c r="CT54" i="2"/>
  <c r="CU54" i="2"/>
  <c r="CV54" i="2"/>
  <c r="CW54" i="2"/>
  <c r="CX54" i="2"/>
  <c r="CY54" i="2"/>
  <c r="DD54" i="2"/>
  <c r="DE54" i="2"/>
  <c r="DL54" i="2"/>
  <c r="DQ54" i="2"/>
  <c r="DS54" i="2"/>
  <c r="DU54" i="2"/>
  <c r="DV54" i="2"/>
  <c r="DW54" i="2"/>
  <c r="DX54" i="2"/>
  <c r="DY54" i="2"/>
  <c r="DZ54" i="2"/>
  <c r="FE54" i="2"/>
  <c r="FF54" i="2"/>
  <c r="FG54" i="2"/>
  <c r="FH54" i="2"/>
  <c r="FI54" i="2"/>
  <c r="FJ54" i="2"/>
  <c r="FK54" i="2"/>
  <c r="FL54" i="2"/>
  <c r="FP54" i="2"/>
  <c r="FQ54" i="2"/>
  <c r="FS54" i="2"/>
  <c r="FT54" i="2"/>
  <c r="FV54" i="2"/>
  <c r="FW54" i="2"/>
  <c r="FX54" i="2"/>
  <c r="FY54" i="2"/>
  <c r="FZ54" i="2"/>
  <c r="GA54" i="2"/>
  <c r="GB54" i="2"/>
  <c r="GC54" i="2"/>
  <c r="GE54" i="2"/>
  <c r="GF54" i="2"/>
  <c r="GG54" i="2"/>
  <c r="GH54" i="2"/>
  <c r="GI54" i="2"/>
  <c r="GJ54" i="2"/>
  <c r="GK54" i="2"/>
  <c r="GL54" i="2"/>
  <c r="GM54" i="2"/>
  <c r="GN54" i="2"/>
  <c r="GO54" i="2"/>
  <c r="GP54" i="2"/>
  <c r="GQ54" i="2"/>
  <c r="GR54" i="2"/>
  <c r="GS54" i="2"/>
  <c r="GT54" i="2"/>
  <c r="GU54" i="2"/>
  <c r="GV54" i="2"/>
  <c r="GW54" i="2"/>
  <c r="C55" i="2"/>
  <c r="D55" i="2"/>
  <c r="E55" i="2"/>
  <c r="S55" i="2"/>
  <c r="T55" i="2"/>
  <c r="U55" i="2"/>
  <c r="V55" i="2"/>
  <c r="W55" i="2"/>
  <c r="X55" i="2"/>
  <c r="Y55" i="2"/>
  <c r="Z55" i="2"/>
  <c r="AA55" i="2"/>
  <c r="AB55" i="2"/>
  <c r="AD55" i="2"/>
  <c r="AE55" i="2"/>
  <c r="AF55" i="2"/>
  <c r="AG55" i="2"/>
  <c r="AH55" i="2"/>
  <c r="AJ55" i="2"/>
  <c r="AK55" i="2"/>
  <c r="AL55" i="2"/>
  <c r="AM55" i="2"/>
  <c r="AN55" i="2"/>
  <c r="AO55" i="2"/>
  <c r="AP55" i="2"/>
  <c r="AQ55" i="2"/>
  <c r="AS55" i="2"/>
  <c r="AT55" i="2"/>
  <c r="AU55" i="2"/>
  <c r="AW55" i="2"/>
  <c r="AX55" i="2"/>
  <c r="AY55" i="2"/>
  <c r="AZ55" i="2"/>
  <c r="BB55" i="2"/>
  <c r="BC55" i="2"/>
  <c r="BE55" i="2"/>
  <c r="BF55" i="2"/>
  <c r="BH55" i="2"/>
  <c r="BI55" i="2"/>
  <c r="BK55" i="2"/>
  <c r="CS55" i="2"/>
  <c r="CT55" i="2"/>
  <c r="CU55" i="2"/>
  <c r="CV55" i="2"/>
  <c r="CW55" i="2"/>
  <c r="CX55" i="2"/>
  <c r="CY55" i="2"/>
  <c r="DD55" i="2"/>
  <c r="DE55" i="2"/>
  <c r="DL55" i="2"/>
  <c r="DQ55" i="2"/>
  <c r="DS55" i="2"/>
  <c r="DU55" i="2"/>
  <c r="DV55" i="2"/>
  <c r="DW55" i="2"/>
  <c r="DX55" i="2"/>
  <c r="DY55" i="2"/>
  <c r="DZ55" i="2"/>
  <c r="FE55" i="2"/>
  <c r="FF55" i="2"/>
  <c r="FG55" i="2"/>
  <c r="FH55" i="2"/>
  <c r="FI55" i="2"/>
  <c r="FJ55" i="2"/>
  <c r="FK55" i="2"/>
  <c r="FL55" i="2"/>
  <c r="FP55" i="2"/>
  <c r="FQ55" i="2"/>
  <c r="FS55" i="2"/>
  <c r="FT55" i="2"/>
  <c r="FV55" i="2"/>
  <c r="FW55" i="2"/>
  <c r="FX55" i="2"/>
  <c r="FY55" i="2"/>
  <c r="FZ55" i="2"/>
  <c r="GA55" i="2"/>
  <c r="GB55" i="2"/>
  <c r="GC55" i="2"/>
  <c r="GE55" i="2"/>
  <c r="GF55" i="2"/>
  <c r="GG55" i="2"/>
  <c r="GH55" i="2"/>
  <c r="GI55" i="2"/>
  <c r="GJ55" i="2"/>
  <c r="GK55" i="2"/>
  <c r="GL55" i="2"/>
  <c r="GM55" i="2"/>
  <c r="GN55" i="2"/>
  <c r="GO55" i="2"/>
  <c r="GP55" i="2"/>
  <c r="GQ55" i="2"/>
  <c r="GR55" i="2"/>
  <c r="GS55" i="2"/>
  <c r="GT55" i="2"/>
  <c r="GU55" i="2"/>
  <c r="GV55" i="2"/>
  <c r="GW55" i="2"/>
  <c r="C56" i="2"/>
  <c r="D56" i="2"/>
  <c r="E56" i="2"/>
  <c r="S56" i="2"/>
  <c r="T56" i="2"/>
  <c r="U56" i="2"/>
  <c r="V56" i="2"/>
  <c r="W56" i="2"/>
  <c r="X56" i="2"/>
  <c r="Y56" i="2"/>
  <c r="Z56" i="2"/>
  <c r="AA56" i="2"/>
  <c r="AB56" i="2"/>
  <c r="AD56" i="2"/>
  <c r="AE56" i="2"/>
  <c r="AF56" i="2"/>
  <c r="AG56" i="2"/>
  <c r="AH56" i="2"/>
  <c r="AJ56" i="2"/>
  <c r="AK56" i="2"/>
  <c r="AL56" i="2"/>
  <c r="AM56" i="2"/>
  <c r="AN56" i="2"/>
  <c r="AO56" i="2"/>
  <c r="AP56" i="2"/>
  <c r="AQ56" i="2"/>
  <c r="AS56" i="2"/>
  <c r="AT56" i="2"/>
  <c r="AU56" i="2"/>
  <c r="AW56" i="2"/>
  <c r="AX56" i="2"/>
  <c r="AY56" i="2"/>
  <c r="AZ56" i="2"/>
  <c r="BB56" i="2"/>
  <c r="BC56" i="2"/>
  <c r="BE56" i="2"/>
  <c r="BF56" i="2"/>
  <c r="BH56" i="2"/>
  <c r="BI56" i="2"/>
  <c r="BK56" i="2"/>
  <c r="CS56" i="2"/>
  <c r="CT56" i="2"/>
  <c r="CU56" i="2"/>
  <c r="CV56" i="2"/>
  <c r="CW56" i="2"/>
  <c r="CX56" i="2"/>
  <c r="CY56" i="2"/>
  <c r="DD56" i="2"/>
  <c r="DE56" i="2"/>
  <c r="DL56" i="2"/>
  <c r="DQ56" i="2"/>
  <c r="DS56" i="2"/>
  <c r="DU56" i="2"/>
  <c r="DV56" i="2"/>
  <c r="DW56" i="2"/>
  <c r="DX56" i="2"/>
  <c r="DY56" i="2"/>
  <c r="DZ56" i="2"/>
  <c r="FE56" i="2"/>
  <c r="FF56" i="2"/>
  <c r="FG56" i="2"/>
  <c r="FH56" i="2"/>
  <c r="FI56" i="2"/>
  <c r="FJ56" i="2"/>
  <c r="FK56" i="2"/>
  <c r="FL56" i="2"/>
  <c r="FP56" i="2"/>
  <c r="FQ56" i="2"/>
  <c r="FS56" i="2"/>
  <c r="FT56" i="2"/>
  <c r="FV56" i="2"/>
  <c r="FW56" i="2"/>
  <c r="FX56" i="2"/>
  <c r="FY56" i="2"/>
  <c r="FZ56" i="2"/>
  <c r="GA56" i="2"/>
  <c r="GB56" i="2"/>
  <c r="GC56" i="2"/>
  <c r="GE56" i="2"/>
  <c r="GF56" i="2"/>
  <c r="GG56" i="2"/>
  <c r="GH56" i="2"/>
  <c r="GI56" i="2"/>
  <c r="GJ56" i="2"/>
  <c r="GK56" i="2"/>
  <c r="GL56" i="2"/>
  <c r="GM56" i="2"/>
  <c r="GN56" i="2"/>
  <c r="GO56" i="2"/>
  <c r="GP56" i="2"/>
  <c r="GQ56" i="2"/>
  <c r="GR56" i="2"/>
  <c r="GS56" i="2"/>
  <c r="GT56" i="2"/>
  <c r="GU56" i="2"/>
  <c r="GV56" i="2"/>
  <c r="GW56" i="2"/>
  <c r="C57" i="2"/>
  <c r="D57" i="2"/>
  <c r="E57" i="2"/>
  <c r="S57" i="2"/>
  <c r="T57" i="2"/>
  <c r="U57" i="2"/>
  <c r="V57" i="2"/>
  <c r="W57" i="2"/>
  <c r="X57" i="2"/>
  <c r="Y57" i="2"/>
  <c r="Z57" i="2"/>
  <c r="AA57" i="2"/>
  <c r="AB57" i="2"/>
  <c r="AD57" i="2"/>
  <c r="AE57" i="2"/>
  <c r="AF57" i="2"/>
  <c r="AG57" i="2"/>
  <c r="AH57" i="2"/>
  <c r="AJ57" i="2"/>
  <c r="AK57" i="2"/>
  <c r="AL57" i="2"/>
  <c r="AM57" i="2"/>
  <c r="AN57" i="2"/>
  <c r="AO57" i="2"/>
  <c r="AP57" i="2"/>
  <c r="AQ57" i="2"/>
  <c r="AS57" i="2"/>
  <c r="AT57" i="2"/>
  <c r="AU57" i="2"/>
  <c r="AW57" i="2"/>
  <c r="AX57" i="2"/>
  <c r="AY57" i="2"/>
  <c r="AZ57" i="2"/>
  <c r="BB57" i="2"/>
  <c r="BC57" i="2"/>
  <c r="BE57" i="2"/>
  <c r="BF57" i="2"/>
  <c r="BH57" i="2"/>
  <c r="BI57" i="2"/>
  <c r="BK57" i="2"/>
  <c r="CS57" i="2"/>
  <c r="CT57" i="2"/>
  <c r="CU57" i="2"/>
  <c r="CV57" i="2"/>
  <c r="CW57" i="2"/>
  <c r="CX57" i="2"/>
  <c r="CY57" i="2"/>
  <c r="DD57" i="2"/>
  <c r="DE57" i="2"/>
  <c r="DL57" i="2"/>
  <c r="DQ57" i="2"/>
  <c r="DS57" i="2"/>
  <c r="DU57" i="2"/>
  <c r="DV57" i="2"/>
  <c r="DW57" i="2"/>
  <c r="DX57" i="2"/>
  <c r="DY57" i="2"/>
  <c r="DZ57" i="2"/>
  <c r="FE57" i="2"/>
  <c r="FF57" i="2"/>
  <c r="FG57" i="2"/>
  <c r="FH57" i="2"/>
  <c r="FI57" i="2"/>
  <c r="FJ57" i="2"/>
  <c r="FK57" i="2"/>
  <c r="FL57" i="2"/>
  <c r="FP57" i="2"/>
  <c r="FQ57" i="2"/>
  <c r="FS57" i="2"/>
  <c r="FT57" i="2"/>
  <c r="FV57" i="2"/>
  <c r="FW57" i="2"/>
  <c r="FX57" i="2"/>
  <c r="FY57" i="2"/>
  <c r="FZ57" i="2"/>
  <c r="GA57" i="2"/>
  <c r="GB57" i="2"/>
  <c r="GC57" i="2"/>
  <c r="GE57" i="2"/>
  <c r="GF57" i="2"/>
  <c r="GG57" i="2"/>
  <c r="GH57" i="2"/>
  <c r="GI57" i="2"/>
  <c r="GJ57" i="2"/>
  <c r="GK57" i="2"/>
  <c r="GL57" i="2"/>
  <c r="GM57" i="2"/>
  <c r="GN57" i="2"/>
  <c r="GO57" i="2"/>
  <c r="GP57" i="2"/>
  <c r="GQ57" i="2"/>
  <c r="GR57" i="2"/>
  <c r="GS57" i="2"/>
  <c r="GT57" i="2"/>
  <c r="GU57" i="2"/>
  <c r="GV57" i="2"/>
  <c r="GW57" i="2"/>
  <c r="C58" i="2"/>
  <c r="D58" i="2"/>
  <c r="E58" i="2"/>
  <c r="S58" i="2"/>
  <c r="T58" i="2"/>
  <c r="U58" i="2"/>
  <c r="V58" i="2"/>
  <c r="W58" i="2"/>
  <c r="X58" i="2"/>
  <c r="Y58" i="2"/>
  <c r="Z58" i="2"/>
  <c r="AA58" i="2"/>
  <c r="AB58" i="2"/>
  <c r="AD58" i="2"/>
  <c r="AE58" i="2"/>
  <c r="AF58" i="2"/>
  <c r="AG58" i="2"/>
  <c r="AH58" i="2"/>
  <c r="AJ58" i="2"/>
  <c r="AK58" i="2"/>
  <c r="AL58" i="2"/>
  <c r="AM58" i="2"/>
  <c r="AN58" i="2"/>
  <c r="AO58" i="2"/>
  <c r="AP58" i="2"/>
  <c r="AQ58" i="2"/>
  <c r="AS58" i="2"/>
  <c r="AT58" i="2"/>
  <c r="AU58" i="2"/>
  <c r="AW58" i="2"/>
  <c r="AX58" i="2"/>
  <c r="AY58" i="2"/>
  <c r="AZ58" i="2"/>
  <c r="BB58" i="2"/>
  <c r="BC58" i="2"/>
  <c r="BE58" i="2"/>
  <c r="BF58" i="2"/>
  <c r="BH58" i="2"/>
  <c r="BI58" i="2"/>
  <c r="BK58" i="2"/>
  <c r="CS58" i="2"/>
  <c r="CT58" i="2"/>
  <c r="CU58" i="2"/>
  <c r="CV58" i="2"/>
  <c r="CW58" i="2"/>
  <c r="CX58" i="2"/>
  <c r="CY58" i="2"/>
  <c r="DD58" i="2"/>
  <c r="DE58" i="2"/>
  <c r="DL58" i="2"/>
  <c r="DQ58" i="2"/>
  <c r="DS58" i="2"/>
  <c r="DU58" i="2"/>
  <c r="DV58" i="2"/>
  <c r="DW58" i="2"/>
  <c r="DX58" i="2"/>
  <c r="DY58" i="2"/>
  <c r="DZ58" i="2"/>
  <c r="FE58" i="2"/>
  <c r="FF58" i="2"/>
  <c r="FG58" i="2"/>
  <c r="FH58" i="2"/>
  <c r="FI58" i="2"/>
  <c r="FJ58" i="2"/>
  <c r="FK58" i="2"/>
  <c r="FL58" i="2"/>
  <c r="FP58" i="2"/>
  <c r="FQ58" i="2"/>
  <c r="FS58" i="2"/>
  <c r="FT58" i="2"/>
  <c r="FV58" i="2"/>
  <c r="FW58" i="2"/>
  <c r="FX58" i="2"/>
  <c r="FY58" i="2"/>
  <c r="FZ58" i="2"/>
  <c r="GA58" i="2"/>
  <c r="GB58" i="2"/>
  <c r="GC58" i="2"/>
  <c r="GE58" i="2"/>
  <c r="GF58" i="2"/>
  <c r="GG58" i="2"/>
  <c r="GH58" i="2"/>
  <c r="GI58" i="2"/>
  <c r="GJ58" i="2"/>
  <c r="GK58" i="2"/>
  <c r="GL58" i="2"/>
  <c r="GM58" i="2"/>
  <c r="GN58" i="2"/>
  <c r="GO58" i="2"/>
  <c r="GP58" i="2"/>
  <c r="GQ58" i="2"/>
  <c r="GR58" i="2"/>
  <c r="GS58" i="2"/>
  <c r="GT58" i="2"/>
  <c r="GU58" i="2"/>
  <c r="GV58" i="2"/>
  <c r="GW58" i="2"/>
  <c r="C59" i="2"/>
  <c r="D59" i="2"/>
  <c r="E59" i="2"/>
  <c r="S59" i="2"/>
  <c r="T59" i="2"/>
  <c r="U59" i="2"/>
  <c r="V59" i="2"/>
  <c r="W59" i="2"/>
  <c r="X59" i="2"/>
  <c r="Y59" i="2"/>
  <c r="Z59" i="2"/>
  <c r="AA59" i="2"/>
  <c r="AB59" i="2"/>
  <c r="AD59" i="2"/>
  <c r="AE59" i="2"/>
  <c r="AF59" i="2"/>
  <c r="AG59" i="2"/>
  <c r="AH59" i="2"/>
  <c r="AJ59" i="2"/>
  <c r="AK59" i="2"/>
  <c r="AL59" i="2"/>
  <c r="AM59" i="2"/>
  <c r="AN59" i="2"/>
  <c r="AO59" i="2"/>
  <c r="AP59" i="2"/>
  <c r="AQ59" i="2"/>
  <c r="AS59" i="2"/>
  <c r="AT59" i="2"/>
  <c r="AU59" i="2"/>
  <c r="AW59" i="2"/>
  <c r="AX59" i="2"/>
  <c r="AY59" i="2"/>
  <c r="AZ59" i="2"/>
  <c r="BB59" i="2"/>
  <c r="BC59" i="2"/>
  <c r="BE59" i="2"/>
  <c r="BF59" i="2"/>
  <c r="BH59" i="2"/>
  <c r="BI59" i="2"/>
  <c r="BK59" i="2"/>
  <c r="CS59" i="2"/>
  <c r="CT59" i="2"/>
  <c r="CU59" i="2"/>
  <c r="CV59" i="2"/>
  <c r="CW59" i="2"/>
  <c r="CX59" i="2"/>
  <c r="CY59" i="2"/>
  <c r="DD59" i="2"/>
  <c r="DE59" i="2"/>
  <c r="DL59" i="2"/>
  <c r="DQ59" i="2"/>
  <c r="DS59" i="2"/>
  <c r="DU59" i="2"/>
  <c r="DV59" i="2"/>
  <c r="DW59" i="2"/>
  <c r="DX59" i="2"/>
  <c r="DY59" i="2"/>
  <c r="DZ59" i="2"/>
  <c r="FE59" i="2"/>
  <c r="FF59" i="2"/>
  <c r="FG59" i="2"/>
  <c r="FH59" i="2"/>
  <c r="FI59" i="2"/>
  <c r="FJ59" i="2"/>
  <c r="FK59" i="2"/>
  <c r="FL59" i="2"/>
  <c r="FP59" i="2"/>
  <c r="FQ59" i="2"/>
  <c r="FS59" i="2"/>
  <c r="FT59" i="2"/>
  <c r="FV59" i="2"/>
  <c r="FW59" i="2"/>
  <c r="FX59" i="2"/>
  <c r="FY59" i="2"/>
  <c r="FZ59" i="2"/>
  <c r="GA59" i="2"/>
  <c r="GB59" i="2"/>
  <c r="GC59" i="2"/>
  <c r="GE59" i="2"/>
  <c r="GF59" i="2"/>
  <c r="GG59" i="2"/>
  <c r="GH59" i="2"/>
  <c r="GI59" i="2"/>
  <c r="GJ59" i="2"/>
  <c r="GK59" i="2"/>
  <c r="GL59" i="2"/>
  <c r="GM59" i="2"/>
  <c r="GN59" i="2"/>
  <c r="GO59" i="2"/>
  <c r="GP59" i="2"/>
  <c r="GQ59" i="2"/>
  <c r="GR59" i="2"/>
  <c r="GS59" i="2"/>
  <c r="GT59" i="2"/>
  <c r="GU59" i="2"/>
  <c r="GV59" i="2"/>
  <c r="GW59" i="2"/>
  <c r="C60" i="2"/>
  <c r="D60" i="2"/>
  <c r="E60" i="2"/>
  <c r="S60" i="2"/>
  <c r="T60" i="2"/>
  <c r="U60" i="2"/>
  <c r="V60" i="2"/>
  <c r="W60" i="2"/>
  <c r="X60" i="2"/>
  <c r="Y60" i="2"/>
  <c r="Z60" i="2"/>
  <c r="AA60" i="2"/>
  <c r="AB60" i="2"/>
  <c r="AD60" i="2"/>
  <c r="AE60" i="2"/>
  <c r="AF60" i="2"/>
  <c r="AG60" i="2"/>
  <c r="AH60" i="2"/>
  <c r="AJ60" i="2"/>
  <c r="AK60" i="2"/>
  <c r="AL60" i="2"/>
  <c r="AM60" i="2"/>
  <c r="AN60" i="2"/>
  <c r="AO60" i="2"/>
  <c r="AP60" i="2"/>
  <c r="AQ60" i="2"/>
  <c r="AS60" i="2"/>
  <c r="AT60" i="2"/>
  <c r="AU60" i="2"/>
  <c r="AW60" i="2"/>
  <c r="AX60" i="2"/>
  <c r="AY60" i="2"/>
  <c r="AZ60" i="2"/>
  <c r="BB60" i="2"/>
  <c r="BC60" i="2"/>
  <c r="BE60" i="2"/>
  <c r="BF60" i="2"/>
  <c r="BH60" i="2"/>
  <c r="BI60" i="2"/>
  <c r="BK60" i="2"/>
  <c r="CS60" i="2"/>
  <c r="CT60" i="2"/>
  <c r="CU60" i="2"/>
  <c r="CV60" i="2"/>
  <c r="CW60" i="2"/>
  <c r="CX60" i="2"/>
  <c r="CY60" i="2"/>
  <c r="DD60" i="2"/>
  <c r="DE60" i="2"/>
  <c r="DL60" i="2"/>
  <c r="DQ60" i="2"/>
  <c r="DS60" i="2"/>
  <c r="DU60" i="2"/>
  <c r="DV60" i="2"/>
  <c r="DW60" i="2"/>
  <c r="DX60" i="2"/>
  <c r="DY60" i="2"/>
  <c r="DZ60" i="2"/>
  <c r="FE60" i="2"/>
  <c r="FF60" i="2"/>
  <c r="FG60" i="2"/>
  <c r="FH60" i="2"/>
  <c r="FI60" i="2"/>
  <c r="FJ60" i="2"/>
  <c r="FK60" i="2"/>
  <c r="FL60" i="2"/>
  <c r="FP60" i="2"/>
  <c r="FQ60" i="2"/>
  <c r="FS60" i="2"/>
  <c r="FT60" i="2"/>
  <c r="FV60" i="2"/>
  <c r="FW60" i="2"/>
  <c r="FX60" i="2"/>
  <c r="FY60" i="2"/>
  <c r="FZ60" i="2"/>
  <c r="GA60" i="2"/>
  <c r="GB60" i="2"/>
  <c r="GC60" i="2"/>
  <c r="GE60" i="2"/>
  <c r="GF60" i="2"/>
  <c r="GG60" i="2"/>
  <c r="GH60" i="2"/>
  <c r="GI60" i="2"/>
  <c r="GJ60" i="2"/>
  <c r="GK60" i="2"/>
  <c r="GL60" i="2"/>
  <c r="GM60" i="2"/>
  <c r="GN60" i="2"/>
  <c r="GO60" i="2"/>
  <c r="GP60" i="2"/>
  <c r="GQ60" i="2"/>
  <c r="GR60" i="2"/>
  <c r="GS60" i="2"/>
  <c r="GT60" i="2"/>
  <c r="GU60" i="2"/>
  <c r="GV60" i="2"/>
  <c r="GW60" i="2"/>
  <c r="C61" i="2"/>
  <c r="D61" i="2"/>
  <c r="E61" i="2"/>
  <c r="S61" i="2"/>
  <c r="T61" i="2"/>
  <c r="U61" i="2"/>
  <c r="V61" i="2"/>
  <c r="W61" i="2"/>
  <c r="X61" i="2"/>
  <c r="Y61" i="2"/>
  <c r="Z61" i="2"/>
  <c r="AA61" i="2"/>
  <c r="AB61" i="2"/>
  <c r="AD61" i="2"/>
  <c r="AE61" i="2"/>
  <c r="AF61" i="2"/>
  <c r="AG61" i="2"/>
  <c r="AH61" i="2"/>
  <c r="AJ61" i="2"/>
  <c r="AK61" i="2"/>
  <c r="AL61" i="2"/>
  <c r="AM61" i="2"/>
  <c r="AN61" i="2"/>
  <c r="AO61" i="2"/>
  <c r="AP61" i="2"/>
  <c r="AQ61" i="2"/>
  <c r="AS61" i="2"/>
  <c r="AT61" i="2"/>
  <c r="AU61" i="2"/>
  <c r="AW61" i="2"/>
  <c r="AX61" i="2"/>
  <c r="AY61" i="2"/>
  <c r="AZ61" i="2"/>
  <c r="BB61" i="2"/>
  <c r="BC61" i="2"/>
  <c r="BE61" i="2"/>
  <c r="BF61" i="2"/>
  <c r="BH61" i="2"/>
  <c r="BI61" i="2"/>
  <c r="BK61" i="2"/>
  <c r="CS61" i="2"/>
  <c r="CT61" i="2"/>
  <c r="CU61" i="2"/>
  <c r="CV61" i="2"/>
  <c r="CW61" i="2"/>
  <c r="CX61" i="2"/>
  <c r="CY61" i="2"/>
  <c r="DD61" i="2"/>
  <c r="DE61" i="2"/>
  <c r="DL61" i="2"/>
  <c r="DQ61" i="2"/>
  <c r="DS61" i="2"/>
  <c r="DU61" i="2"/>
  <c r="DV61" i="2"/>
  <c r="DW61" i="2"/>
  <c r="DX61" i="2"/>
  <c r="DY61" i="2"/>
  <c r="DZ61" i="2"/>
  <c r="FE61" i="2"/>
  <c r="FF61" i="2"/>
  <c r="FG61" i="2"/>
  <c r="FH61" i="2"/>
  <c r="FI61" i="2"/>
  <c r="FJ61" i="2"/>
  <c r="FK61" i="2"/>
  <c r="FL61" i="2"/>
  <c r="FP61" i="2"/>
  <c r="FQ61" i="2"/>
  <c r="FS61" i="2"/>
  <c r="FT61" i="2"/>
  <c r="FV61" i="2"/>
  <c r="FW61" i="2"/>
  <c r="FX61" i="2"/>
  <c r="FY61" i="2"/>
  <c r="FZ61" i="2"/>
  <c r="GA61" i="2"/>
  <c r="GB61" i="2"/>
  <c r="GC61" i="2"/>
  <c r="GE61" i="2"/>
  <c r="GF61" i="2"/>
  <c r="GG61" i="2"/>
  <c r="GH61" i="2"/>
  <c r="GI61" i="2"/>
  <c r="GJ61" i="2"/>
  <c r="GK61" i="2"/>
  <c r="GL61" i="2"/>
  <c r="GM61" i="2"/>
  <c r="GN61" i="2"/>
  <c r="GO61" i="2"/>
  <c r="GP61" i="2"/>
  <c r="GQ61" i="2"/>
  <c r="GR61" i="2"/>
  <c r="GS61" i="2"/>
  <c r="GT61" i="2"/>
  <c r="GU61" i="2"/>
  <c r="GV61" i="2"/>
  <c r="GW61" i="2"/>
  <c r="C63" i="2"/>
  <c r="D63" i="2"/>
  <c r="E63" i="2"/>
  <c r="S63" i="2"/>
  <c r="T63" i="2"/>
  <c r="U63" i="2"/>
  <c r="V63" i="2"/>
  <c r="W63" i="2"/>
  <c r="X63" i="2"/>
  <c r="Y63" i="2"/>
  <c r="Z63" i="2"/>
  <c r="AA63" i="2"/>
  <c r="AB63" i="2"/>
  <c r="AD63" i="2"/>
  <c r="AE63" i="2"/>
  <c r="AF63" i="2"/>
  <c r="AG63" i="2"/>
  <c r="AH63" i="2"/>
  <c r="AJ63" i="2"/>
  <c r="AK63" i="2"/>
  <c r="AL63" i="2"/>
  <c r="AM63" i="2"/>
  <c r="AN63" i="2"/>
  <c r="AO63" i="2"/>
  <c r="AP63" i="2"/>
  <c r="AQ63" i="2"/>
  <c r="AS63" i="2"/>
  <c r="AT63" i="2"/>
  <c r="AU63" i="2"/>
  <c r="AW63" i="2"/>
  <c r="AX63" i="2"/>
  <c r="AY63" i="2"/>
  <c r="AZ63" i="2"/>
  <c r="BB63" i="2"/>
  <c r="BC63" i="2"/>
  <c r="BE63" i="2"/>
  <c r="BF63" i="2"/>
  <c r="BH63" i="2"/>
  <c r="BI63" i="2"/>
  <c r="BK63" i="2"/>
  <c r="CS63" i="2"/>
  <c r="CT63" i="2"/>
  <c r="CU63" i="2"/>
  <c r="CV63" i="2"/>
  <c r="CW63" i="2"/>
  <c r="CX63" i="2"/>
  <c r="CY63" i="2"/>
  <c r="DD63" i="2"/>
  <c r="DE63" i="2"/>
  <c r="DL63" i="2"/>
  <c r="DQ63" i="2"/>
  <c r="DS63" i="2"/>
  <c r="DU63" i="2"/>
  <c r="DV63" i="2"/>
  <c r="DW63" i="2"/>
  <c r="DX63" i="2"/>
  <c r="DY63" i="2"/>
  <c r="DZ63" i="2"/>
  <c r="FE63" i="2"/>
  <c r="FF63" i="2"/>
  <c r="FG63" i="2"/>
  <c r="FH63" i="2"/>
  <c r="FI63" i="2"/>
  <c r="FJ63" i="2"/>
  <c r="FK63" i="2"/>
  <c r="FL63" i="2"/>
  <c r="FP63" i="2"/>
  <c r="FQ63" i="2"/>
  <c r="FS63" i="2"/>
  <c r="FT63" i="2"/>
  <c r="FV63" i="2"/>
  <c r="FW63" i="2"/>
  <c r="FX63" i="2"/>
  <c r="FY63" i="2"/>
  <c r="FZ63" i="2"/>
  <c r="GA63" i="2"/>
  <c r="GB63" i="2"/>
  <c r="GC63" i="2"/>
  <c r="GE63" i="2"/>
  <c r="GF63" i="2"/>
  <c r="GG63" i="2"/>
  <c r="GH63" i="2"/>
  <c r="GI63" i="2"/>
  <c r="GJ63" i="2"/>
  <c r="GK63" i="2"/>
  <c r="GL63" i="2"/>
  <c r="GM63" i="2"/>
  <c r="GN63" i="2"/>
  <c r="GO63" i="2"/>
  <c r="GP63" i="2"/>
  <c r="GQ63" i="2"/>
  <c r="GR63" i="2"/>
  <c r="GS63" i="2"/>
  <c r="GT63" i="2"/>
  <c r="GU63" i="2"/>
  <c r="GV63" i="2"/>
  <c r="GW63" i="2"/>
  <c r="C64" i="2"/>
  <c r="D64" i="2"/>
  <c r="E64" i="2"/>
  <c r="S64" i="2"/>
  <c r="T64" i="2"/>
  <c r="U64" i="2"/>
  <c r="V64" i="2"/>
  <c r="W64" i="2"/>
  <c r="X64" i="2"/>
  <c r="Y64" i="2"/>
  <c r="Z64" i="2"/>
  <c r="AA64" i="2"/>
  <c r="AB64" i="2"/>
  <c r="AD64" i="2"/>
  <c r="AE64" i="2"/>
  <c r="AF64" i="2"/>
  <c r="AG64" i="2"/>
  <c r="AH64" i="2"/>
  <c r="AJ64" i="2"/>
  <c r="AK64" i="2"/>
  <c r="AL64" i="2"/>
  <c r="AM64" i="2"/>
  <c r="AN64" i="2"/>
  <c r="AO64" i="2"/>
  <c r="AP64" i="2"/>
  <c r="AQ64" i="2"/>
  <c r="AS64" i="2"/>
  <c r="AT64" i="2"/>
  <c r="AU64" i="2"/>
  <c r="AW64" i="2"/>
  <c r="AX64" i="2"/>
  <c r="AY64" i="2"/>
  <c r="AZ64" i="2"/>
  <c r="BB64" i="2"/>
  <c r="BC64" i="2"/>
  <c r="BE64" i="2"/>
  <c r="BF64" i="2"/>
  <c r="BH64" i="2"/>
  <c r="BI64" i="2"/>
  <c r="BK64" i="2"/>
  <c r="CS64" i="2"/>
  <c r="CT64" i="2"/>
  <c r="CU64" i="2"/>
  <c r="CV64" i="2"/>
  <c r="CW64" i="2"/>
  <c r="CX64" i="2"/>
  <c r="CY64" i="2"/>
  <c r="DD64" i="2"/>
  <c r="DE64" i="2"/>
  <c r="DL64" i="2"/>
  <c r="DQ64" i="2"/>
  <c r="DS64" i="2"/>
  <c r="DU64" i="2"/>
  <c r="DV64" i="2"/>
  <c r="DW64" i="2"/>
  <c r="DX64" i="2"/>
  <c r="DY64" i="2"/>
  <c r="DZ64" i="2"/>
  <c r="FE64" i="2"/>
  <c r="FF64" i="2"/>
  <c r="FG64" i="2"/>
  <c r="FH64" i="2"/>
  <c r="FI64" i="2"/>
  <c r="FJ64" i="2"/>
  <c r="FK64" i="2"/>
  <c r="FL64" i="2"/>
  <c r="FP64" i="2"/>
  <c r="FQ64" i="2"/>
  <c r="FS64" i="2"/>
  <c r="FT64" i="2"/>
  <c r="FV64" i="2"/>
  <c r="FW64" i="2"/>
  <c r="FX64" i="2"/>
  <c r="FY64" i="2"/>
  <c r="FZ64" i="2"/>
  <c r="GA64" i="2"/>
  <c r="GB64" i="2"/>
  <c r="GC64" i="2"/>
  <c r="GE64" i="2"/>
  <c r="GF64" i="2"/>
  <c r="GG64" i="2"/>
  <c r="GH64" i="2"/>
  <c r="GI64" i="2"/>
  <c r="GJ64" i="2"/>
  <c r="GK64" i="2"/>
  <c r="GL64" i="2"/>
  <c r="GM64" i="2"/>
  <c r="GN64" i="2"/>
  <c r="GO64" i="2"/>
  <c r="GP64" i="2"/>
  <c r="GQ64" i="2"/>
  <c r="GR64" i="2"/>
  <c r="GS64" i="2"/>
  <c r="GT64" i="2"/>
  <c r="GU64" i="2"/>
  <c r="GV64" i="2"/>
  <c r="GW64" i="2"/>
  <c r="C65" i="2"/>
  <c r="D65" i="2"/>
  <c r="E65" i="2"/>
  <c r="S65" i="2"/>
  <c r="T65" i="2"/>
  <c r="U65" i="2"/>
  <c r="V65" i="2"/>
  <c r="W65" i="2"/>
  <c r="X65" i="2"/>
  <c r="Y65" i="2"/>
  <c r="Z65" i="2"/>
  <c r="AA65" i="2"/>
  <c r="AB65" i="2"/>
  <c r="AD65" i="2"/>
  <c r="AE65" i="2"/>
  <c r="AF65" i="2"/>
  <c r="AG65" i="2"/>
  <c r="AH65" i="2"/>
  <c r="AJ65" i="2"/>
  <c r="AK65" i="2"/>
  <c r="AL65" i="2"/>
  <c r="AM65" i="2"/>
  <c r="AN65" i="2"/>
  <c r="AO65" i="2"/>
  <c r="AP65" i="2"/>
  <c r="AQ65" i="2"/>
  <c r="AS65" i="2"/>
  <c r="AT65" i="2"/>
  <c r="AU65" i="2"/>
  <c r="AW65" i="2"/>
  <c r="AX65" i="2"/>
  <c r="AY65" i="2"/>
  <c r="AZ65" i="2"/>
  <c r="BB65" i="2"/>
  <c r="BC65" i="2"/>
  <c r="BE65" i="2"/>
  <c r="BF65" i="2"/>
  <c r="BH65" i="2"/>
  <c r="BI65" i="2"/>
  <c r="BK65" i="2"/>
  <c r="CS65" i="2"/>
  <c r="CT65" i="2"/>
  <c r="CU65" i="2"/>
  <c r="CV65" i="2"/>
  <c r="CW65" i="2"/>
  <c r="CX65" i="2"/>
  <c r="CY65" i="2"/>
  <c r="DD65" i="2"/>
  <c r="DE65" i="2"/>
  <c r="DL65" i="2"/>
  <c r="DQ65" i="2"/>
  <c r="DS65" i="2"/>
  <c r="DU65" i="2"/>
  <c r="DV65" i="2"/>
  <c r="DW65" i="2"/>
  <c r="DX65" i="2"/>
  <c r="DY65" i="2"/>
  <c r="DZ65" i="2"/>
  <c r="FE65" i="2"/>
  <c r="FF65" i="2"/>
  <c r="FG65" i="2"/>
  <c r="FH65" i="2"/>
  <c r="FI65" i="2"/>
  <c r="FJ65" i="2"/>
  <c r="FK65" i="2"/>
  <c r="FL65" i="2"/>
  <c r="FP65" i="2"/>
  <c r="FQ65" i="2"/>
  <c r="FS65" i="2"/>
  <c r="FT65" i="2"/>
  <c r="FV65" i="2"/>
  <c r="FW65" i="2"/>
  <c r="FX65" i="2"/>
  <c r="FY65" i="2"/>
  <c r="FZ65" i="2"/>
  <c r="GA65" i="2"/>
  <c r="GB65" i="2"/>
  <c r="GC65" i="2"/>
  <c r="GE65" i="2"/>
  <c r="GF65" i="2"/>
  <c r="GG65" i="2"/>
  <c r="GH65" i="2"/>
  <c r="GI65" i="2"/>
  <c r="GJ65" i="2"/>
  <c r="GK65" i="2"/>
  <c r="GL65" i="2"/>
  <c r="GM65" i="2"/>
  <c r="GN65" i="2"/>
  <c r="GO65" i="2"/>
  <c r="GP65" i="2"/>
  <c r="GQ65" i="2"/>
  <c r="GR65" i="2"/>
  <c r="GS65" i="2"/>
  <c r="GT65" i="2"/>
  <c r="GU65" i="2"/>
  <c r="GV65" i="2"/>
  <c r="GW65" i="2"/>
  <c r="C66" i="2"/>
  <c r="D66" i="2"/>
  <c r="E66" i="2"/>
  <c r="S66" i="2"/>
  <c r="T66" i="2"/>
  <c r="U66" i="2"/>
  <c r="V66" i="2"/>
  <c r="W66" i="2"/>
  <c r="X66" i="2"/>
  <c r="Y66" i="2"/>
  <c r="Z66" i="2"/>
  <c r="AA66" i="2"/>
  <c r="AB66" i="2"/>
  <c r="AD66" i="2"/>
  <c r="AE66" i="2"/>
  <c r="AF66" i="2"/>
  <c r="AG66" i="2"/>
  <c r="AH66" i="2"/>
  <c r="AJ66" i="2"/>
  <c r="AK66" i="2"/>
  <c r="AL66" i="2"/>
  <c r="AM66" i="2"/>
  <c r="AN66" i="2"/>
  <c r="AO66" i="2"/>
  <c r="AP66" i="2"/>
  <c r="AQ66" i="2"/>
  <c r="AS66" i="2"/>
  <c r="AT66" i="2"/>
  <c r="AU66" i="2"/>
  <c r="AW66" i="2"/>
  <c r="AX66" i="2"/>
  <c r="AY66" i="2"/>
  <c r="AZ66" i="2"/>
  <c r="BB66" i="2"/>
  <c r="BC66" i="2"/>
  <c r="BE66" i="2"/>
  <c r="BF66" i="2"/>
  <c r="BH66" i="2"/>
  <c r="BI66" i="2"/>
  <c r="BK66" i="2"/>
  <c r="CS66" i="2"/>
  <c r="CT66" i="2"/>
  <c r="CU66" i="2"/>
  <c r="CV66" i="2"/>
  <c r="CW66" i="2"/>
  <c r="CX66" i="2"/>
  <c r="CY66" i="2"/>
  <c r="DD66" i="2"/>
  <c r="DE66" i="2"/>
  <c r="DL66" i="2"/>
  <c r="DQ66" i="2"/>
  <c r="DS66" i="2"/>
  <c r="DU66" i="2"/>
  <c r="DV66" i="2"/>
  <c r="DW66" i="2"/>
  <c r="DX66" i="2"/>
  <c r="DY66" i="2"/>
  <c r="DZ66" i="2"/>
  <c r="FE66" i="2"/>
  <c r="FF66" i="2"/>
  <c r="FG66" i="2"/>
  <c r="FH66" i="2"/>
  <c r="FI66" i="2"/>
  <c r="FJ66" i="2"/>
  <c r="FK66" i="2"/>
  <c r="FL66" i="2"/>
  <c r="FP66" i="2"/>
  <c r="FQ66" i="2"/>
  <c r="FS66" i="2"/>
  <c r="FT66" i="2"/>
  <c r="FV66" i="2"/>
  <c r="FW66" i="2"/>
  <c r="FX66" i="2"/>
  <c r="FY66" i="2"/>
  <c r="FZ66" i="2"/>
  <c r="GA66" i="2"/>
  <c r="GB66" i="2"/>
  <c r="GC66" i="2"/>
  <c r="GE66" i="2"/>
  <c r="GF66" i="2"/>
  <c r="GG66" i="2"/>
  <c r="GH66" i="2"/>
  <c r="GI66" i="2"/>
  <c r="GJ66" i="2"/>
  <c r="GK66" i="2"/>
  <c r="GL66" i="2"/>
  <c r="GM66" i="2"/>
  <c r="GN66" i="2"/>
  <c r="GO66" i="2"/>
  <c r="GP66" i="2"/>
  <c r="GQ66" i="2"/>
  <c r="GR66" i="2"/>
  <c r="GS66" i="2"/>
  <c r="GT66" i="2"/>
  <c r="GU66" i="2"/>
  <c r="GV66" i="2"/>
  <c r="GW66" i="2"/>
  <c r="C67" i="2"/>
  <c r="D67" i="2"/>
  <c r="E67" i="2"/>
  <c r="S67" i="2"/>
  <c r="T67" i="2"/>
  <c r="U67" i="2"/>
  <c r="V67" i="2"/>
  <c r="W67" i="2"/>
  <c r="X67" i="2"/>
  <c r="Y67" i="2"/>
  <c r="Z67" i="2"/>
  <c r="AA67" i="2"/>
  <c r="AB67" i="2"/>
  <c r="AD67" i="2"/>
  <c r="AE67" i="2"/>
  <c r="AF67" i="2"/>
  <c r="AG67" i="2"/>
  <c r="AH67" i="2"/>
  <c r="AJ67" i="2"/>
  <c r="AK67" i="2"/>
  <c r="AL67" i="2"/>
  <c r="AM67" i="2"/>
  <c r="AN67" i="2"/>
  <c r="AO67" i="2"/>
  <c r="AP67" i="2"/>
  <c r="AQ67" i="2"/>
  <c r="AS67" i="2"/>
  <c r="AT67" i="2"/>
  <c r="AU67" i="2"/>
  <c r="AW67" i="2"/>
  <c r="AX67" i="2"/>
  <c r="AY67" i="2"/>
  <c r="AZ67" i="2"/>
  <c r="BB67" i="2"/>
  <c r="BC67" i="2"/>
  <c r="BE67" i="2"/>
  <c r="BF67" i="2"/>
  <c r="BH67" i="2"/>
  <c r="BI67" i="2"/>
  <c r="BK67" i="2"/>
  <c r="CS67" i="2"/>
  <c r="CT67" i="2"/>
  <c r="CU67" i="2"/>
  <c r="CV67" i="2"/>
  <c r="CW67" i="2"/>
  <c r="CX67" i="2"/>
  <c r="CY67" i="2"/>
  <c r="DD67" i="2"/>
  <c r="DE67" i="2"/>
  <c r="DL67" i="2"/>
  <c r="DQ67" i="2"/>
  <c r="DS67" i="2"/>
  <c r="DU67" i="2"/>
  <c r="DV67" i="2"/>
  <c r="DW67" i="2"/>
  <c r="DX67" i="2"/>
  <c r="DY67" i="2"/>
  <c r="DZ67" i="2"/>
  <c r="FE67" i="2"/>
  <c r="FF67" i="2"/>
  <c r="FG67" i="2"/>
  <c r="FH67" i="2"/>
  <c r="FI67" i="2"/>
  <c r="FJ67" i="2"/>
  <c r="FK67" i="2"/>
  <c r="FL67" i="2"/>
  <c r="FP67" i="2"/>
  <c r="FQ67" i="2"/>
  <c r="FS67" i="2"/>
  <c r="FT67" i="2"/>
  <c r="FV67" i="2"/>
  <c r="FW67" i="2"/>
  <c r="FX67" i="2"/>
  <c r="FY67" i="2"/>
  <c r="FZ67" i="2"/>
  <c r="GA67" i="2"/>
  <c r="GB67" i="2"/>
  <c r="GC67" i="2"/>
  <c r="GE67" i="2"/>
  <c r="GF67" i="2"/>
  <c r="GG67" i="2"/>
  <c r="GH67" i="2"/>
  <c r="GI67" i="2"/>
  <c r="GJ67" i="2"/>
  <c r="GK67" i="2"/>
  <c r="GL67" i="2"/>
  <c r="GM67" i="2"/>
  <c r="GN67" i="2"/>
  <c r="GO67" i="2"/>
  <c r="GP67" i="2"/>
  <c r="GQ67" i="2"/>
  <c r="GR67" i="2"/>
  <c r="GS67" i="2"/>
  <c r="GT67" i="2"/>
  <c r="GU67" i="2"/>
  <c r="GV67" i="2"/>
  <c r="GW67" i="2"/>
  <c r="C68" i="2"/>
  <c r="D68" i="2"/>
  <c r="E68" i="2"/>
  <c r="S68" i="2"/>
  <c r="T68" i="2"/>
  <c r="U68" i="2"/>
  <c r="V68" i="2"/>
  <c r="W68" i="2"/>
  <c r="X68" i="2"/>
  <c r="Y68" i="2"/>
  <c r="Z68" i="2"/>
  <c r="AA68" i="2"/>
  <c r="AB68" i="2"/>
  <c r="AD68" i="2"/>
  <c r="AE68" i="2"/>
  <c r="AF68" i="2"/>
  <c r="AG68" i="2"/>
  <c r="AH68" i="2"/>
  <c r="AJ68" i="2"/>
  <c r="AK68" i="2"/>
  <c r="AL68" i="2"/>
  <c r="AM68" i="2"/>
  <c r="AN68" i="2"/>
  <c r="AO68" i="2"/>
  <c r="AP68" i="2"/>
  <c r="AQ68" i="2"/>
  <c r="AS68" i="2"/>
  <c r="AT68" i="2"/>
  <c r="AU68" i="2"/>
  <c r="AW68" i="2"/>
  <c r="AX68" i="2"/>
  <c r="AY68" i="2"/>
  <c r="AZ68" i="2"/>
  <c r="BB68" i="2"/>
  <c r="BC68" i="2"/>
  <c r="BE68" i="2"/>
  <c r="BF68" i="2"/>
  <c r="BH68" i="2"/>
  <c r="BI68" i="2"/>
  <c r="BK68" i="2"/>
  <c r="CS68" i="2"/>
  <c r="CT68" i="2"/>
  <c r="CU68" i="2"/>
  <c r="CV68" i="2"/>
  <c r="CW68" i="2"/>
  <c r="CX68" i="2"/>
  <c r="CY68" i="2"/>
  <c r="DD68" i="2"/>
  <c r="DE68" i="2"/>
  <c r="DL68" i="2"/>
  <c r="DQ68" i="2"/>
  <c r="DS68" i="2"/>
  <c r="DU68" i="2"/>
  <c r="DV68" i="2"/>
  <c r="DW68" i="2"/>
  <c r="DX68" i="2"/>
  <c r="DY68" i="2"/>
  <c r="DZ68" i="2"/>
  <c r="FE68" i="2"/>
  <c r="FF68" i="2"/>
  <c r="FG68" i="2"/>
  <c r="FH68" i="2"/>
  <c r="FI68" i="2"/>
  <c r="FJ68" i="2"/>
  <c r="FK68" i="2"/>
  <c r="FL68" i="2"/>
  <c r="FP68" i="2"/>
  <c r="FQ68" i="2"/>
  <c r="FS68" i="2"/>
  <c r="FT68" i="2"/>
  <c r="FV68" i="2"/>
  <c r="FW68" i="2"/>
  <c r="FX68" i="2"/>
  <c r="FY68" i="2"/>
  <c r="FZ68" i="2"/>
  <c r="GA68" i="2"/>
  <c r="GB68" i="2"/>
  <c r="GC68" i="2"/>
  <c r="GE68" i="2"/>
  <c r="GF68" i="2"/>
  <c r="GG68" i="2"/>
  <c r="GH68" i="2"/>
  <c r="GI68" i="2"/>
  <c r="GJ68" i="2"/>
  <c r="GK68" i="2"/>
  <c r="GL68" i="2"/>
  <c r="GM68" i="2"/>
  <c r="GN68" i="2"/>
  <c r="GO68" i="2"/>
  <c r="GP68" i="2"/>
  <c r="GQ68" i="2"/>
  <c r="GR68" i="2"/>
  <c r="GS68" i="2"/>
  <c r="GT68" i="2"/>
  <c r="GU68" i="2"/>
  <c r="GV68" i="2"/>
  <c r="GW68" i="2"/>
  <c r="C69" i="2"/>
  <c r="D69" i="2"/>
  <c r="E69" i="2"/>
  <c r="S69" i="2"/>
  <c r="T69" i="2"/>
  <c r="U69" i="2"/>
  <c r="V69" i="2"/>
  <c r="W69" i="2"/>
  <c r="X69" i="2"/>
  <c r="Y69" i="2"/>
  <c r="Z69" i="2"/>
  <c r="AA69" i="2"/>
  <c r="AB69" i="2"/>
  <c r="AD69" i="2"/>
  <c r="AE69" i="2"/>
  <c r="AF69" i="2"/>
  <c r="AG69" i="2"/>
  <c r="AH69" i="2"/>
  <c r="AJ69" i="2"/>
  <c r="AK69" i="2"/>
  <c r="AL69" i="2"/>
  <c r="AM69" i="2"/>
  <c r="AN69" i="2"/>
  <c r="AO69" i="2"/>
  <c r="AP69" i="2"/>
  <c r="AQ69" i="2"/>
  <c r="AS69" i="2"/>
  <c r="AT69" i="2"/>
  <c r="AU69" i="2"/>
  <c r="AW69" i="2"/>
  <c r="AX69" i="2"/>
  <c r="AY69" i="2"/>
  <c r="AZ69" i="2"/>
  <c r="BB69" i="2"/>
  <c r="BC69" i="2"/>
  <c r="BE69" i="2"/>
  <c r="BF69" i="2"/>
  <c r="BH69" i="2"/>
  <c r="BI69" i="2"/>
  <c r="BK69" i="2"/>
  <c r="CS69" i="2"/>
  <c r="CT69" i="2"/>
  <c r="CU69" i="2"/>
  <c r="CV69" i="2"/>
  <c r="CW69" i="2"/>
  <c r="CX69" i="2"/>
  <c r="CY69" i="2"/>
  <c r="DD69" i="2"/>
  <c r="DE69" i="2"/>
  <c r="DL69" i="2"/>
  <c r="DQ69" i="2"/>
  <c r="DS69" i="2"/>
  <c r="DU69" i="2"/>
  <c r="DV69" i="2"/>
  <c r="DW69" i="2"/>
  <c r="DX69" i="2"/>
  <c r="DY69" i="2"/>
  <c r="DZ69" i="2"/>
  <c r="FE69" i="2"/>
  <c r="FF69" i="2"/>
  <c r="FG69" i="2"/>
  <c r="FH69" i="2"/>
  <c r="FI69" i="2"/>
  <c r="FJ69" i="2"/>
  <c r="FK69" i="2"/>
  <c r="FL69" i="2"/>
  <c r="FP69" i="2"/>
  <c r="FQ69" i="2"/>
  <c r="FS69" i="2"/>
  <c r="FT69" i="2"/>
  <c r="FV69" i="2"/>
  <c r="FW69" i="2"/>
  <c r="FX69" i="2"/>
  <c r="FY69" i="2"/>
  <c r="FZ69" i="2"/>
  <c r="GA69" i="2"/>
  <c r="GB69" i="2"/>
  <c r="GC69" i="2"/>
  <c r="GE69" i="2"/>
  <c r="GF69" i="2"/>
  <c r="GG69" i="2"/>
  <c r="GH69" i="2"/>
  <c r="GI69" i="2"/>
  <c r="GJ69" i="2"/>
  <c r="GK69" i="2"/>
  <c r="GL69" i="2"/>
  <c r="GM69" i="2"/>
  <c r="GN69" i="2"/>
  <c r="GO69" i="2"/>
  <c r="GP69" i="2"/>
  <c r="GQ69" i="2"/>
  <c r="GR69" i="2"/>
  <c r="GS69" i="2"/>
  <c r="GT69" i="2"/>
  <c r="GU69" i="2"/>
  <c r="GV69" i="2"/>
  <c r="GW69" i="2"/>
  <c r="C70" i="2"/>
  <c r="D70" i="2"/>
  <c r="E70" i="2"/>
  <c r="S70" i="2"/>
  <c r="T70" i="2"/>
  <c r="U70" i="2"/>
  <c r="V70" i="2"/>
  <c r="W70" i="2"/>
  <c r="X70" i="2"/>
  <c r="Y70" i="2"/>
  <c r="Z70" i="2"/>
  <c r="AA70" i="2"/>
  <c r="AB70" i="2"/>
  <c r="AD70" i="2"/>
  <c r="AE70" i="2"/>
  <c r="AF70" i="2"/>
  <c r="AG70" i="2"/>
  <c r="AH70" i="2"/>
  <c r="AJ70" i="2"/>
  <c r="AK70" i="2"/>
  <c r="AL70" i="2"/>
  <c r="AM70" i="2"/>
  <c r="AN70" i="2"/>
  <c r="AO70" i="2"/>
  <c r="AP70" i="2"/>
  <c r="AQ70" i="2"/>
  <c r="AS70" i="2"/>
  <c r="AT70" i="2"/>
  <c r="AU70" i="2"/>
  <c r="AW70" i="2"/>
  <c r="AX70" i="2"/>
  <c r="AY70" i="2"/>
  <c r="AZ70" i="2"/>
  <c r="BB70" i="2"/>
  <c r="BC70" i="2"/>
  <c r="BE70" i="2"/>
  <c r="BF70" i="2"/>
  <c r="BH70" i="2"/>
  <c r="BI70" i="2"/>
  <c r="BK70" i="2"/>
  <c r="CS70" i="2"/>
  <c r="CT70" i="2"/>
  <c r="CU70" i="2"/>
  <c r="CV70" i="2"/>
  <c r="CW70" i="2"/>
  <c r="CX70" i="2"/>
  <c r="CY70" i="2"/>
  <c r="DD70" i="2"/>
  <c r="DE70" i="2"/>
  <c r="DL70" i="2"/>
  <c r="DQ70" i="2"/>
  <c r="DS70" i="2"/>
  <c r="DU70" i="2"/>
  <c r="DV70" i="2"/>
  <c r="DW70" i="2"/>
  <c r="DX70" i="2"/>
  <c r="DY70" i="2"/>
  <c r="DZ70" i="2"/>
  <c r="FE70" i="2"/>
  <c r="FF70" i="2"/>
  <c r="FG70" i="2"/>
  <c r="FH70" i="2"/>
  <c r="FI70" i="2"/>
  <c r="FJ70" i="2"/>
  <c r="FK70" i="2"/>
  <c r="FL70" i="2"/>
  <c r="FP70" i="2"/>
  <c r="FQ70" i="2"/>
  <c r="FS70" i="2"/>
  <c r="FT70" i="2"/>
  <c r="FV70" i="2"/>
  <c r="FW70" i="2"/>
  <c r="FX70" i="2"/>
  <c r="FY70" i="2"/>
  <c r="FZ70" i="2"/>
  <c r="GA70" i="2"/>
  <c r="GB70" i="2"/>
  <c r="GC70" i="2"/>
  <c r="GE70" i="2"/>
  <c r="GF70" i="2"/>
  <c r="GG70" i="2"/>
  <c r="GH70" i="2"/>
  <c r="GI70" i="2"/>
  <c r="GJ70" i="2"/>
  <c r="GK70" i="2"/>
  <c r="GL70" i="2"/>
  <c r="GM70" i="2"/>
  <c r="GN70" i="2"/>
  <c r="GO70" i="2"/>
  <c r="GP70" i="2"/>
  <c r="GQ70" i="2"/>
  <c r="GR70" i="2"/>
  <c r="GS70" i="2"/>
  <c r="GT70" i="2"/>
  <c r="GU70" i="2"/>
  <c r="GV70" i="2"/>
  <c r="GW70" i="2"/>
  <c r="C71" i="2"/>
  <c r="D71" i="2"/>
  <c r="E71" i="2"/>
  <c r="S71" i="2"/>
  <c r="T71" i="2"/>
  <c r="U71" i="2"/>
  <c r="V71" i="2"/>
  <c r="W71" i="2"/>
  <c r="X71" i="2"/>
  <c r="Y71" i="2"/>
  <c r="Z71" i="2"/>
  <c r="AA71" i="2"/>
  <c r="AB71" i="2"/>
  <c r="AD71" i="2"/>
  <c r="AE71" i="2"/>
  <c r="AF71" i="2"/>
  <c r="AG71" i="2"/>
  <c r="AH71" i="2"/>
  <c r="AJ71" i="2"/>
  <c r="AK71" i="2"/>
  <c r="AL71" i="2"/>
  <c r="AM71" i="2"/>
  <c r="AN71" i="2"/>
  <c r="AO71" i="2"/>
  <c r="AP71" i="2"/>
  <c r="AQ71" i="2"/>
  <c r="AS71" i="2"/>
  <c r="AT71" i="2"/>
  <c r="AU71" i="2"/>
  <c r="AW71" i="2"/>
  <c r="AX71" i="2"/>
  <c r="AY71" i="2"/>
  <c r="AZ71" i="2"/>
  <c r="BB71" i="2"/>
  <c r="BC71" i="2"/>
  <c r="BE71" i="2"/>
  <c r="BF71" i="2"/>
  <c r="BH71" i="2"/>
  <c r="BI71" i="2"/>
  <c r="BK71" i="2"/>
  <c r="CS71" i="2"/>
  <c r="CT71" i="2"/>
  <c r="CU71" i="2"/>
  <c r="CV71" i="2"/>
  <c r="CW71" i="2"/>
  <c r="CX71" i="2"/>
  <c r="CY71" i="2"/>
  <c r="DD71" i="2"/>
  <c r="DE71" i="2"/>
  <c r="DL71" i="2"/>
  <c r="DQ71" i="2"/>
  <c r="DS71" i="2"/>
  <c r="DU71" i="2"/>
  <c r="DV71" i="2"/>
  <c r="DW71" i="2"/>
  <c r="DX71" i="2"/>
  <c r="DY71" i="2"/>
  <c r="DZ71" i="2"/>
  <c r="FE71" i="2"/>
  <c r="FF71" i="2"/>
  <c r="FG71" i="2"/>
  <c r="FH71" i="2"/>
  <c r="FI71" i="2"/>
  <c r="FJ71" i="2"/>
  <c r="FK71" i="2"/>
  <c r="FL71" i="2"/>
  <c r="FP71" i="2"/>
  <c r="FQ71" i="2"/>
  <c r="FS71" i="2"/>
  <c r="FT71" i="2"/>
  <c r="FV71" i="2"/>
  <c r="FW71" i="2"/>
  <c r="FX71" i="2"/>
  <c r="FY71" i="2"/>
  <c r="FZ71" i="2"/>
  <c r="GA71" i="2"/>
  <c r="GB71" i="2"/>
  <c r="GC71" i="2"/>
  <c r="GE71" i="2"/>
  <c r="GF71" i="2"/>
  <c r="GG71" i="2"/>
  <c r="GH71" i="2"/>
  <c r="GI71" i="2"/>
  <c r="GJ71" i="2"/>
  <c r="GK71" i="2"/>
  <c r="GL71" i="2"/>
  <c r="GM71" i="2"/>
  <c r="GN71" i="2"/>
  <c r="GO71" i="2"/>
  <c r="GP71" i="2"/>
  <c r="GQ71" i="2"/>
  <c r="GR71" i="2"/>
  <c r="GS71" i="2"/>
  <c r="GT71" i="2"/>
  <c r="GU71" i="2"/>
  <c r="GV71" i="2"/>
  <c r="GW71" i="2"/>
  <c r="C72" i="2"/>
  <c r="D72" i="2"/>
  <c r="E72" i="2"/>
  <c r="S72" i="2"/>
  <c r="T72" i="2"/>
  <c r="U72" i="2"/>
  <c r="V72" i="2"/>
  <c r="W72" i="2"/>
  <c r="X72" i="2"/>
  <c r="Y72" i="2"/>
  <c r="Z72" i="2"/>
  <c r="AA72" i="2"/>
  <c r="AB72" i="2"/>
  <c r="AD72" i="2"/>
  <c r="AE72" i="2"/>
  <c r="AF72" i="2"/>
  <c r="AG72" i="2"/>
  <c r="AH72" i="2"/>
  <c r="AJ72" i="2"/>
  <c r="AK72" i="2"/>
  <c r="AL72" i="2"/>
  <c r="AM72" i="2"/>
  <c r="AN72" i="2"/>
  <c r="AO72" i="2"/>
  <c r="AP72" i="2"/>
  <c r="AQ72" i="2"/>
  <c r="AS72" i="2"/>
  <c r="AT72" i="2"/>
  <c r="AU72" i="2"/>
  <c r="AW72" i="2"/>
  <c r="AX72" i="2"/>
  <c r="AY72" i="2"/>
  <c r="AZ72" i="2"/>
  <c r="BB72" i="2"/>
  <c r="BC72" i="2"/>
  <c r="BE72" i="2"/>
  <c r="BF72" i="2"/>
  <c r="BH72" i="2"/>
  <c r="BI72" i="2"/>
  <c r="BK72" i="2"/>
  <c r="CS72" i="2"/>
  <c r="CT72" i="2"/>
  <c r="CU72" i="2"/>
  <c r="CV72" i="2"/>
  <c r="CW72" i="2"/>
  <c r="CX72" i="2"/>
  <c r="CY72" i="2"/>
  <c r="DD72" i="2"/>
  <c r="DE72" i="2"/>
  <c r="DL72" i="2"/>
  <c r="DQ72" i="2"/>
  <c r="DS72" i="2"/>
  <c r="DU72" i="2"/>
  <c r="DV72" i="2"/>
  <c r="DW72" i="2"/>
  <c r="DX72" i="2"/>
  <c r="DY72" i="2"/>
  <c r="DZ72" i="2"/>
  <c r="FE72" i="2"/>
  <c r="FF72" i="2"/>
  <c r="FG72" i="2"/>
  <c r="FH72" i="2"/>
  <c r="FI72" i="2"/>
  <c r="FJ72" i="2"/>
  <c r="FK72" i="2"/>
  <c r="FL72" i="2"/>
  <c r="FP72" i="2"/>
  <c r="FQ72" i="2"/>
  <c r="FS72" i="2"/>
  <c r="FT72" i="2"/>
  <c r="FV72" i="2"/>
  <c r="FW72" i="2"/>
  <c r="FX72" i="2"/>
  <c r="FY72" i="2"/>
  <c r="FZ72" i="2"/>
  <c r="GA72" i="2"/>
  <c r="GB72" i="2"/>
  <c r="GC72" i="2"/>
  <c r="GE72" i="2"/>
  <c r="GF72" i="2"/>
  <c r="GG72" i="2"/>
  <c r="GH72" i="2"/>
  <c r="GI72" i="2"/>
  <c r="GJ72" i="2"/>
  <c r="GK72" i="2"/>
  <c r="GL72" i="2"/>
  <c r="GM72" i="2"/>
  <c r="GN72" i="2"/>
  <c r="GO72" i="2"/>
  <c r="GP72" i="2"/>
  <c r="GQ72" i="2"/>
  <c r="GR72" i="2"/>
  <c r="GS72" i="2"/>
  <c r="GT72" i="2"/>
  <c r="GU72" i="2"/>
  <c r="GV72" i="2"/>
  <c r="GW72" i="2"/>
  <c r="C73" i="2"/>
  <c r="D73" i="2"/>
  <c r="E73" i="2"/>
  <c r="S73" i="2"/>
  <c r="T73" i="2"/>
  <c r="U73" i="2"/>
  <c r="V73" i="2"/>
  <c r="W73" i="2"/>
  <c r="X73" i="2"/>
  <c r="Y73" i="2"/>
  <c r="Z73" i="2"/>
  <c r="AA73" i="2"/>
  <c r="AB73" i="2"/>
  <c r="AD73" i="2"/>
  <c r="AE73" i="2"/>
  <c r="AF73" i="2"/>
  <c r="AG73" i="2"/>
  <c r="AH73" i="2"/>
  <c r="AJ73" i="2"/>
  <c r="AK73" i="2"/>
  <c r="AL73" i="2"/>
  <c r="AM73" i="2"/>
  <c r="AN73" i="2"/>
  <c r="AO73" i="2"/>
  <c r="AP73" i="2"/>
  <c r="AQ73" i="2"/>
  <c r="AS73" i="2"/>
  <c r="AT73" i="2"/>
  <c r="AU73" i="2"/>
  <c r="AW73" i="2"/>
  <c r="AX73" i="2"/>
  <c r="AY73" i="2"/>
  <c r="AZ73" i="2"/>
  <c r="BB73" i="2"/>
  <c r="BC73" i="2"/>
  <c r="BE73" i="2"/>
  <c r="BF73" i="2"/>
  <c r="BH73" i="2"/>
  <c r="BI73" i="2"/>
  <c r="BK73" i="2"/>
  <c r="CS73" i="2"/>
  <c r="CT73" i="2"/>
  <c r="CU73" i="2"/>
  <c r="CV73" i="2"/>
  <c r="CW73" i="2"/>
  <c r="CX73" i="2"/>
  <c r="CY73" i="2"/>
  <c r="DD73" i="2"/>
  <c r="DE73" i="2"/>
  <c r="DL73" i="2"/>
  <c r="DQ73" i="2"/>
  <c r="DS73" i="2"/>
  <c r="DU73" i="2"/>
  <c r="DV73" i="2"/>
  <c r="DW73" i="2"/>
  <c r="DX73" i="2"/>
  <c r="DY73" i="2"/>
  <c r="DZ73" i="2"/>
  <c r="FE73" i="2"/>
  <c r="FF73" i="2"/>
  <c r="FG73" i="2"/>
  <c r="FH73" i="2"/>
  <c r="FI73" i="2"/>
  <c r="FJ73" i="2"/>
  <c r="FK73" i="2"/>
  <c r="FL73" i="2"/>
  <c r="FP73" i="2"/>
  <c r="FQ73" i="2"/>
  <c r="FS73" i="2"/>
  <c r="FT73" i="2"/>
  <c r="FV73" i="2"/>
  <c r="FW73" i="2"/>
  <c r="FX73" i="2"/>
  <c r="FY73" i="2"/>
  <c r="FZ73" i="2"/>
  <c r="GA73" i="2"/>
  <c r="GB73" i="2"/>
  <c r="GC73" i="2"/>
  <c r="GE73" i="2"/>
  <c r="GF73" i="2"/>
  <c r="GG73" i="2"/>
  <c r="GH73" i="2"/>
  <c r="GI73" i="2"/>
  <c r="GJ73" i="2"/>
  <c r="GK73" i="2"/>
  <c r="GL73" i="2"/>
  <c r="GM73" i="2"/>
  <c r="GN73" i="2"/>
  <c r="GO73" i="2"/>
  <c r="GP73" i="2"/>
  <c r="GQ73" i="2"/>
  <c r="GR73" i="2"/>
  <c r="GS73" i="2"/>
  <c r="GT73" i="2"/>
  <c r="GU73" i="2"/>
  <c r="GV73" i="2"/>
  <c r="GW73" i="2"/>
  <c r="C74" i="2"/>
  <c r="D74" i="2"/>
  <c r="E74" i="2"/>
  <c r="S74" i="2"/>
  <c r="T74" i="2"/>
  <c r="U74" i="2"/>
  <c r="V74" i="2"/>
  <c r="W74" i="2"/>
  <c r="X74" i="2"/>
  <c r="Y74" i="2"/>
  <c r="Z74" i="2"/>
  <c r="AA74" i="2"/>
  <c r="AB74" i="2"/>
  <c r="AD74" i="2"/>
  <c r="AE74" i="2"/>
  <c r="AF74" i="2"/>
  <c r="AG74" i="2"/>
  <c r="AH74" i="2"/>
  <c r="AJ74" i="2"/>
  <c r="AK74" i="2"/>
  <c r="AL74" i="2"/>
  <c r="AM74" i="2"/>
  <c r="AN74" i="2"/>
  <c r="AO74" i="2"/>
  <c r="AP74" i="2"/>
  <c r="AQ74" i="2"/>
  <c r="AS74" i="2"/>
  <c r="AT74" i="2"/>
  <c r="AU74" i="2"/>
  <c r="AW74" i="2"/>
  <c r="AX74" i="2"/>
  <c r="AY74" i="2"/>
  <c r="AZ74" i="2"/>
  <c r="BB74" i="2"/>
  <c r="BC74" i="2"/>
  <c r="BE74" i="2"/>
  <c r="BF74" i="2"/>
  <c r="BH74" i="2"/>
  <c r="BI74" i="2"/>
  <c r="BK74" i="2"/>
  <c r="CS74" i="2"/>
  <c r="CT74" i="2"/>
  <c r="CU74" i="2"/>
  <c r="CV74" i="2"/>
  <c r="CW74" i="2"/>
  <c r="CX74" i="2"/>
  <c r="CY74" i="2"/>
  <c r="DD74" i="2"/>
  <c r="DE74" i="2"/>
  <c r="DL74" i="2"/>
  <c r="DQ74" i="2"/>
  <c r="DS74" i="2"/>
  <c r="DU74" i="2"/>
  <c r="DV74" i="2"/>
  <c r="DW74" i="2"/>
  <c r="DX74" i="2"/>
  <c r="DY74" i="2"/>
  <c r="DZ74" i="2"/>
  <c r="FE74" i="2"/>
  <c r="FF74" i="2"/>
  <c r="FG74" i="2"/>
  <c r="FH74" i="2"/>
  <c r="FI74" i="2"/>
  <c r="FJ74" i="2"/>
  <c r="FK74" i="2"/>
  <c r="FL74" i="2"/>
  <c r="FP74" i="2"/>
  <c r="FQ74" i="2"/>
  <c r="FS74" i="2"/>
  <c r="FT74" i="2"/>
  <c r="FV74" i="2"/>
  <c r="FW74" i="2"/>
  <c r="FX74" i="2"/>
  <c r="FY74" i="2"/>
  <c r="FZ74" i="2"/>
  <c r="GA74" i="2"/>
  <c r="GB74" i="2"/>
  <c r="GC74" i="2"/>
  <c r="GE74" i="2"/>
  <c r="GF74" i="2"/>
  <c r="GG74" i="2"/>
  <c r="GH74" i="2"/>
  <c r="GI74" i="2"/>
  <c r="GJ74" i="2"/>
  <c r="GK74" i="2"/>
  <c r="GL74" i="2"/>
  <c r="GM74" i="2"/>
  <c r="GN74" i="2"/>
  <c r="GO74" i="2"/>
  <c r="GP74" i="2"/>
  <c r="GQ74" i="2"/>
  <c r="GR74" i="2"/>
  <c r="GS74" i="2"/>
  <c r="GT74" i="2"/>
  <c r="GU74" i="2"/>
  <c r="GV74" i="2"/>
  <c r="GW74" i="2"/>
  <c r="C75" i="2"/>
  <c r="D75" i="2"/>
  <c r="E75" i="2"/>
  <c r="S75" i="2"/>
  <c r="T75" i="2"/>
  <c r="U75" i="2"/>
  <c r="V75" i="2"/>
  <c r="W75" i="2"/>
  <c r="X75" i="2"/>
  <c r="Y75" i="2"/>
  <c r="Z75" i="2"/>
  <c r="AA75" i="2"/>
  <c r="AB75" i="2"/>
  <c r="AD75" i="2"/>
  <c r="AE75" i="2"/>
  <c r="AF75" i="2"/>
  <c r="AG75" i="2"/>
  <c r="AH75" i="2"/>
  <c r="AJ75" i="2"/>
  <c r="AK75" i="2"/>
  <c r="AL75" i="2"/>
  <c r="AM75" i="2"/>
  <c r="AN75" i="2"/>
  <c r="AO75" i="2"/>
  <c r="AP75" i="2"/>
  <c r="AQ75" i="2"/>
  <c r="AS75" i="2"/>
  <c r="AT75" i="2"/>
  <c r="AU75" i="2"/>
  <c r="AW75" i="2"/>
  <c r="AX75" i="2"/>
  <c r="AY75" i="2"/>
  <c r="AZ75" i="2"/>
  <c r="BB75" i="2"/>
  <c r="BC75" i="2"/>
  <c r="BE75" i="2"/>
  <c r="BF75" i="2"/>
  <c r="BH75" i="2"/>
  <c r="BI75" i="2"/>
  <c r="BK75" i="2"/>
  <c r="CS75" i="2"/>
  <c r="CT75" i="2"/>
  <c r="CU75" i="2"/>
  <c r="CV75" i="2"/>
  <c r="CW75" i="2"/>
  <c r="CX75" i="2"/>
  <c r="CY75" i="2"/>
  <c r="DD75" i="2"/>
  <c r="DE75" i="2"/>
  <c r="DL75" i="2"/>
  <c r="DQ75" i="2"/>
  <c r="DS75" i="2"/>
  <c r="DU75" i="2"/>
  <c r="DV75" i="2"/>
  <c r="DW75" i="2"/>
  <c r="DX75" i="2"/>
  <c r="DY75" i="2"/>
  <c r="DZ75" i="2"/>
  <c r="FE75" i="2"/>
  <c r="FF75" i="2"/>
  <c r="FG75" i="2"/>
  <c r="FH75" i="2"/>
  <c r="FI75" i="2"/>
  <c r="FJ75" i="2"/>
  <c r="FK75" i="2"/>
  <c r="FL75" i="2"/>
  <c r="FP75" i="2"/>
  <c r="FQ75" i="2"/>
  <c r="FS75" i="2"/>
  <c r="FT75" i="2"/>
  <c r="FV75" i="2"/>
  <c r="FW75" i="2"/>
  <c r="FX75" i="2"/>
  <c r="FY75" i="2"/>
  <c r="FZ75" i="2"/>
  <c r="GA75" i="2"/>
  <c r="GB75" i="2"/>
  <c r="GC75" i="2"/>
  <c r="GE75" i="2"/>
  <c r="GF75" i="2"/>
  <c r="GG75" i="2"/>
  <c r="GH75" i="2"/>
  <c r="GI75" i="2"/>
  <c r="GJ75" i="2"/>
  <c r="GK75" i="2"/>
  <c r="GL75" i="2"/>
  <c r="GM75" i="2"/>
  <c r="GN75" i="2"/>
  <c r="GO75" i="2"/>
  <c r="GP75" i="2"/>
  <c r="GQ75" i="2"/>
  <c r="GR75" i="2"/>
  <c r="GS75" i="2"/>
  <c r="GT75" i="2"/>
  <c r="GU75" i="2"/>
  <c r="GV75" i="2"/>
  <c r="GW75" i="2"/>
  <c r="C76" i="2"/>
  <c r="D76" i="2"/>
  <c r="E76" i="2"/>
  <c r="S76" i="2"/>
  <c r="T76" i="2"/>
  <c r="U76" i="2"/>
  <c r="V76" i="2"/>
  <c r="W76" i="2"/>
  <c r="X76" i="2"/>
  <c r="Y76" i="2"/>
  <c r="Z76" i="2"/>
  <c r="AA76" i="2"/>
  <c r="AB76" i="2"/>
  <c r="AD76" i="2"/>
  <c r="AE76" i="2"/>
  <c r="AF76" i="2"/>
  <c r="AG76" i="2"/>
  <c r="AH76" i="2"/>
  <c r="AJ76" i="2"/>
  <c r="AK76" i="2"/>
  <c r="AL76" i="2"/>
  <c r="AM76" i="2"/>
  <c r="AN76" i="2"/>
  <c r="AO76" i="2"/>
  <c r="AP76" i="2"/>
  <c r="AQ76" i="2"/>
  <c r="AS76" i="2"/>
  <c r="AT76" i="2"/>
  <c r="AU76" i="2"/>
  <c r="AW76" i="2"/>
  <c r="AX76" i="2"/>
  <c r="AY76" i="2"/>
  <c r="AZ76" i="2"/>
  <c r="BB76" i="2"/>
  <c r="BC76" i="2"/>
  <c r="BE76" i="2"/>
  <c r="BF76" i="2"/>
  <c r="BH76" i="2"/>
  <c r="BI76" i="2"/>
  <c r="BK76" i="2"/>
  <c r="CS76" i="2"/>
  <c r="CT76" i="2"/>
  <c r="CU76" i="2"/>
  <c r="CV76" i="2"/>
  <c r="CW76" i="2"/>
  <c r="CX76" i="2"/>
  <c r="CY76" i="2"/>
  <c r="DD76" i="2"/>
  <c r="DE76" i="2"/>
  <c r="DL76" i="2"/>
  <c r="DQ76" i="2"/>
  <c r="DS76" i="2"/>
  <c r="DU76" i="2"/>
  <c r="DV76" i="2"/>
  <c r="DW76" i="2"/>
  <c r="DX76" i="2"/>
  <c r="DY76" i="2"/>
  <c r="DZ76" i="2"/>
  <c r="FE76" i="2"/>
  <c r="FF76" i="2"/>
  <c r="FG76" i="2"/>
  <c r="FH76" i="2"/>
  <c r="FI76" i="2"/>
  <c r="FJ76" i="2"/>
  <c r="FK76" i="2"/>
  <c r="FL76" i="2"/>
  <c r="FP76" i="2"/>
  <c r="FQ76" i="2"/>
  <c r="FS76" i="2"/>
  <c r="FT76" i="2"/>
  <c r="FV76" i="2"/>
  <c r="FW76" i="2"/>
  <c r="FX76" i="2"/>
  <c r="FY76" i="2"/>
  <c r="FZ76" i="2"/>
  <c r="GA76" i="2"/>
  <c r="GB76" i="2"/>
  <c r="GC76" i="2"/>
  <c r="GE76" i="2"/>
  <c r="GF76" i="2"/>
  <c r="GG76" i="2"/>
  <c r="GH76" i="2"/>
  <c r="GI76" i="2"/>
  <c r="GJ76" i="2"/>
  <c r="GK76" i="2"/>
  <c r="GL76" i="2"/>
  <c r="GM76" i="2"/>
  <c r="GN76" i="2"/>
  <c r="GO76" i="2"/>
  <c r="GP76" i="2"/>
  <c r="GQ76" i="2"/>
  <c r="GR76" i="2"/>
  <c r="GS76" i="2"/>
  <c r="GT76" i="2"/>
  <c r="GU76" i="2"/>
  <c r="GV76" i="2"/>
  <c r="GW76" i="2"/>
  <c r="C77" i="2"/>
  <c r="D77" i="2"/>
  <c r="E77" i="2"/>
  <c r="S77" i="2"/>
  <c r="T77" i="2"/>
  <c r="U77" i="2"/>
  <c r="V77" i="2"/>
  <c r="W77" i="2"/>
  <c r="X77" i="2"/>
  <c r="Y77" i="2"/>
  <c r="Z77" i="2"/>
  <c r="AA77" i="2"/>
  <c r="AB77" i="2"/>
  <c r="AD77" i="2"/>
  <c r="AE77" i="2"/>
  <c r="AF77" i="2"/>
  <c r="AG77" i="2"/>
  <c r="AH77" i="2"/>
  <c r="AJ77" i="2"/>
  <c r="AK77" i="2"/>
  <c r="AL77" i="2"/>
  <c r="AM77" i="2"/>
  <c r="AN77" i="2"/>
  <c r="AO77" i="2"/>
  <c r="AP77" i="2"/>
  <c r="AQ77" i="2"/>
  <c r="AS77" i="2"/>
  <c r="AT77" i="2"/>
  <c r="AU77" i="2"/>
  <c r="AW77" i="2"/>
  <c r="AX77" i="2"/>
  <c r="AY77" i="2"/>
  <c r="AZ77" i="2"/>
  <c r="BB77" i="2"/>
  <c r="BC77" i="2"/>
  <c r="BE77" i="2"/>
  <c r="BF77" i="2"/>
  <c r="BH77" i="2"/>
  <c r="BI77" i="2"/>
  <c r="BK77" i="2"/>
  <c r="CS77" i="2"/>
  <c r="CT77" i="2"/>
  <c r="CU77" i="2"/>
  <c r="CV77" i="2"/>
  <c r="CW77" i="2"/>
  <c r="CX77" i="2"/>
  <c r="CY77" i="2"/>
  <c r="DD77" i="2"/>
  <c r="DE77" i="2"/>
  <c r="DL77" i="2"/>
  <c r="DQ77" i="2"/>
  <c r="DS77" i="2"/>
  <c r="DU77" i="2"/>
  <c r="DV77" i="2"/>
  <c r="DW77" i="2"/>
  <c r="DX77" i="2"/>
  <c r="DY77" i="2"/>
  <c r="DZ77" i="2"/>
  <c r="FE77" i="2"/>
  <c r="FF77" i="2"/>
  <c r="FG77" i="2"/>
  <c r="FH77" i="2"/>
  <c r="FI77" i="2"/>
  <c r="FJ77" i="2"/>
  <c r="FK77" i="2"/>
  <c r="FL77" i="2"/>
  <c r="FP77" i="2"/>
  <c r="FQ77" i="2"/>
  <c r="FS77" i="2"/>
  <c r="FT77" i="2"/>
  <c r="FV77" i="2"/>
  <c r="FW77" i="2"/>
  <c r="FX77" i="2"/>
  <c r="FY77" i="2"/>
  <c r="FZ77" i="2"/>
  <c r="GA77" i="2"/>
  <c r="GB77" i="2"/>
  <c r="GC77" i="2"/>
  <c r="GE77" i="2"/>
  <c r="GF77" i="2"/>
  <c r="GG77" i="2"/>
  <c r="GH77" i="2"/>
  <c r="GI77" i="2"/>
  <c r="GJ77" i="2"/>
  <c r="GK77" i="2"/>
  <c r="GL77" i="2"/>
  <c r="GM77" i="2"/>
  <c r="GN77" i="2"/>
  <c r="GO77" i="2"/>
  <c r="GP77" i="2"/>
  <c r="GQ77" i="2"/>
  <c r="GR77" i="2"/>
  <c r="GS77" i="2"/>
  <c r="GT77" i="2"/>
  <c r="GU77" i="2"/>
  <c r="GV77" i="2"/>
  <c r="GW77" i="2"/>
  <c r="C78" i="2"/>
  <c r="D78" i="2"/>
  <c r="E78" i="2"/>
  <c r="S78" i="2"/>
  <c r="T78" i="2"/>
  <c r="U78" i="2"/>
  <c r="V78" i="2"/>
  <c r="W78" i="2"/>
  <c r="X78" i="2"/>
  <c r="Y78" i="2"/>
  <c r="Z78" i="2"/>
  <c r="AA78" i="2"/>
  <c r="AB78" i="2"/>
  <c r="AD78" i="2"/>
  <c r="AE78" i="2"/>
  <c r="AF78" i="2"/>
  <c r="AG78" i="2"/>
  <c r="AH78" i="2"/>
  <c r="AJ78" i="2"/>
  <c r="AK78" i="2"/>
  <c r="AL78" i="2"/>
  <c r="AM78" i="2"/>
  <c r="AN78" i="2"/>
  <c r="AO78" i="2"/>
  <c r="AP78" i="2"/>
  <c r="AQ78" i="2"/>
  <c r="AS78" i="2"/>
  <c r="AT78" i="2"/>
  <c r="AU78" i="2"/>
  <c r="AW78" i="2"/>
  <c r="AX78" i="2"/>
  <c r="AY78" i="2"/>
  <c r="AZ78" i="2"/>
  <c r="BB78" i="2"/>
  <c r="BC78" i="2"/>
  <c r="BE78" i="2"/>
  <c r="BF78" i="2"/>
  <c r="BH78" i="2"/>
  <c r="BI78" i="2"/>
  <c r="BK78" i="2"/>
  <c r="CS78" i="2"/>
  <c r="CT78" i="2"/>
  <c r="CU78" i="2"/>
  <c r="CV78" i="2"/>
  <c r="CW78" i="2"/>
  <c r="CX78" i="2"/>
  <c r="CY78" i="2"/>
  <c r="DD78" i="2"/>
  <c r="DE78" i="2"/>
  <c r="DL78" i="2"/>
  <c r="DQ78" i="2"/>
  <c r="DS78" i="2"/>
  <c r="DU78" i="2"/>
  <c r="DV78" i="2"/>
  <c r="DW78" i="2"/>
  <c r="DX78" i="2"/>
  <c r="DY78" i="2"/>
  <c r="DZ78" i="2"/>
  <c r="FE78" i="2"/>
  <c r="FF78" i="2"/>
  <c r="FG78" i="2"/>
  <c r="FH78" i="2"/>
  <c r="FI78" i="2"/>
  <c r="FJ78" i="2"/>
  <c r="FK78" i="2"/>
  <c r="FL78" i="2"/>
  <c r="FP78" i="2"/>
  <c r="FQ78" i="2"/>
  <c r="FS78" i="2"/>
  <c r="FT78" i="2"/>
  <c r="FV78" i="2"/>
  <c r="FW78" i="2"/>
  <c r="FX78" i="2"/>
  <c r="FY78" i="2"/>
  <c r="FZ78" i="2"/>
  <c r="GA78" i="2"/>
  <c r="GB78" i="2"/>
  <c r="GC78" i="2"/>
  <c r="GE78" i="2"/>
  <c r="GF78" i="2"/>
  <c r="GG78" i="2"/>
  <c r="GH78" i="2"/>
  <c r="GI78" i="2"/>
  <c r="GJ78" i="2"/>
  <c r="GK78" i="2"/>
  <c r="GL78" i="2"/>
  <c r="GM78" i="2"/>
  <c r="GN78" i="2"/>
  <c r="GO78" i="2"/>
  <c r="GP78" i="2"/>
  <c r="GQ78" i="2"/>
  <c r="GR78" i="2"/>
  <c r="GS78" i="2"/>
  <c r="GT78" i="2"/>
  <c r="GU78" i="2"/>
  <c r="GV78" i="2"/>
  <c r="GW78" i="2"/>
  <c r="C79" i="2"/>
  <c r="D79" i="2"/>
  <c r="E79" i="2"/>
  <c r="S79" i="2"/>
  <c r="T79" i="2"/>
  <c r="U79" i="2"/>
  <c r="V79" i="2"/>
  <c r="W79" i="2"/>
  <c r="X79" i="2"/>
  <c r="Y79" i="2"/>
  <c r="Z79" i="2"/>
  <c r="AA79" i="2"/>
  <c r="AB79" i="2"/>
  <c r="AD79" i="2"/>
  <c r="AE79" i="2"/>
  <c r="AF79" i="2"/>
  <c r="AG79" i="2"/>
  <c r="AH79" i="2"/>
  <c r="AJ79" i="2"/>
  <c r="AK79" i="2"/>
  <c r="AL79" i="2"/>
  <c r="AM79" i="2"/>
  <c r="AN79" i="2"/>
  <c r="AO79" i="2"/>
  <c r="AP79" i="2"/>
  <c r="AQ79" i="2"/>
  <c r="AS79" i="2"/>
  <c r="AT79" i="2"/>
  <c r="AU79" i="2"/>
  <c r="AW79" i="2"/>
  <c r="AX79" i="2"/>
  <c r="AY79" i="2"/>
  <c r="AZ79" i="2"/>
  <c r="BB79" i="2"/>
  <c r="BC79" i="2"/>
  <c r="BE79" i="2"/>
  <c r="BF79" i="2"/>
  <c r="BH79" i="2"/>
  <c r="BI79" i="2"/>
  <c r="BK79" i="2"/>
  <c r="CS79" i="2"/>
  <c r="CT79" i="2"/>
  <c r="CU79" i="2"/>
  <c r="CV79" i="2"/>
  <c r="CW79" i="2"/>
  <c r="CX79" i="2"/>
  <c r="CY79" i="2"/>
  <c r="DD79" i="2"/>
  <c r="DE79" i="2"/>
  <c r="DL79" i="2"/>
  <c r="DQ79" i="2"/>
  <c r="DS79" i="2"/>
  <c r="DU79" i="2"/>
  <c r="DV79" i="2"/>
  <c r="DW79" i="2"/>
  <c r="DX79" i="2"/>
  <c r="DY79" i="2"/>
  <c r="DZ79" i="2"/>
  <c r="FE79" i="2"/>
  <c r="FF79" i="2"/>
  <c r="FG79" i="2"/>
  <c r="FH79" i="2"/>
  <c r="FI79" i="2"/>
  <c r="FJ79" i="2"/>
  <c r="FK79" i="2"/>
  <c r="FL79" i="2"/>
  <c r="FP79" i="2"/>
  <c r="FQ79" i="2"/>
  <c r="FS79" i="2"/>
  <c r="FT79" i="2"/>
  <c r="FV79" i="2"/>
  <c r="FW79" i="2"/>
  <c r="FX79" i="2"/>
  <c r="FY79" i="2"/>
  <c r="FZ79" i="2"/>
  <c r="GA79" i="2"/>
  <c r="GB79" i="2"/>
  <c r="GC79" i="2"/>
  <c r="GE79" i="2"/>
  <c r="GF79" i="2"/>
  <c r="GG79" i="2"/>
  <c r="GH79" i="2"/>
  <c r="GI79" i="2"/>
  <c r="GJ79" i="2"/>
  <c r="GK79" i="2"/>
  <c r="GL79" i="2"/>
  <c r="GM79" i="2"/>
  <c r="GN79" i="2"/>
  <c r="GO79" i="2"/>
  <c r="GP79" i="2"/>
  <c r="GQ79" i="2"/>
  <c r="GR79" i="2"/>
  <c r="GS79" i="2"/>
  <c r="GT79" i="2"/>
  <c r="GU79" i="2"/>
  <c r="GV79" i="2"/>
  <c r="GW79" i="2"/>
  <c r="V8" i="1"/>
  <c r="X8" i="1"/>
  <c r="Y8" i="1"/>
  <c r="Z8" i="1"/>
  <c r="AA8" i="1"/>
  <c r="AB8" i="1"/>
  <c r="AD8" i="1"/>
  <c r="AE8" i="1"/>
  <c r="AF8" i="1"/>
  <c r="AG8" i="1"/>
  <c r="AH8" i="1"/>
  <c r="AJ8" i="1"/>
  <c r="AL8" i="1"/>
  <c r="AN8" i="1"/>
  <c r="AO8" i="1"/>
  <c r="AP8" i="1"/>
  <c r="AQ8" i="1"/>
  <c r="AS8" i="1"/>
  <c r="AT8" i="1"/>
  <c r="AU8" i="1"/>
  <c r="AW8" i="1"/>
  <c r="AZ8" i="1"/>
  <c r="BB8" i="1"/>
  <c r="BC8" i="1"/>
  <c r="BE8" i="1"/>
  <c r="BF8" i="1"/>
  <c r="CS8" i="1"/>
  <c r="CT8" i="1"/>
  <c r="CU8" i="1"/>
  <c r="CV8" i="1"/>
  <c r="CW8" i="1"/>
  <c r="CX8" i="1"/>
  <c r="CY8" i="1"/>
  <c r="DV8" i="1"/>
  <c r="DW8" i="1"/>
  <c r="DY8" i="1"/>
  <c r="DZ8" i="1"/>
  <c r="FE8" i="1"/>
  <c r="FF8" i="1"/>
  <c r="FG8" i="1"/>
  <c r="FH8" i="1"/>
  <c r="FI8" i="1"/>
  <c r="FJ8" i="1"/>
  <c r="FK8" i="1"/>
  <c r="FL8" i="1"/>
  <c r="FM8" i="1"/>
  <c r="FN8" i="1"/>
  <c r="FO8" i="1"/>
  <c r="FP8" i="1"/>
  <c r="FQ8" i="1"/>
  <c r="FS8" i="1"/>
  <c r="FT8" i="1"/>
  <c r="FV8" i="1"/>
  <c r="FW8" i="1"/>
  <c r="FX8" i="1"/>
  <c r="FY8" i="1"/>
  <c r="FZ8" i="1"/>
  <c r="GA8" i="1"/>
  <c r="GB8" i="1"/>
  <c r="V9" i="1"/>
  <c r="X9" i="1"/>
  <c r="Y9" i="1"/>
  <c r="Z9" i="1"/>
  <c r="AA9" i="1"/>
  <c r="AB9" i="1"/>
  <c r="AD9" i="1"/>
  <c r="AE9" i="1"/>
  <c r="AF9" i="1"/>
  <c r="AG9" i="1"/>
  <c r="AH9" i="1"/>
  <c r="AJ9" i="1"/>
  <c r="AL9" i="1"/>
  <c r="AN9" i="1"/>
  <c r="AO9" i="1"/>
  <c r="AP9" i="1"/>
  <c r="AQ9" i="1"/>
  <c r="AS9" i="1"/>
  <c r="AT9" i="1"/>
  <c r="AU9" i="1"/>
  <c r="AW9" i="1"/>
  <c r="AZ9" i="1"/>
  <c r="BB9" i="1"/>
  <c r="BC9" i="1"/>
  <c r="BE9" i="1"/>
  <c r="BF9" i="1"/>
  <c r="CS9" i="1"/>
  <c r="CT9" i="1"/>
  <c r="CU9" i="1"/>
  <c r="CV9" i="1"/>
  <c r="CW9" i="1"/>
  <c r="CX9" i="1"/>
  <c r="CY9" i="1"/>
  <c r="DV9" i="1"/>
  <c r="DW9" i="1"/>
  <c r="DY9" i="1"/>
  <c r="DZ9" i="1"/>
  <c r="FE9" i="1"/>
  <c r="FF9" i="1"/>
  <c r="FG9" i="1"/>
  <c r="FH9" i="1"/>
  <c r="FI9" i="1"/>
  <c r="FJ9" i="1"/>
  <c r="FK9" i="1"/>
  <c r="FL9" i="1"/>
  <c r="FM9" i="1"/>
  <c r="FN9" i="1"/>
  <c r="FO9" i="1"/>
  <c r="FP9" i="1"/>
  <c r="FQ9" i="1"/>
  <c r="FS9" i="1"/>
  <c r="FT9" i="1"/>
  <c r="FV9" i="1"/>
  <c r="FW9" i="1"/>
  <c r="FX9" i="1"/>
  <c r="FY9" i="1"/>
  <c r="FZ9" i="1"/>
  <c r="GA9" i="1"/>
  <c r="GB9" i="1"/>
  <c r="V10" i="1"/>
  <c r="X10" i="1"/>
  <c r="Y10" i="1"/>
  <c r="Z10" i="1"/>
  <c r="AA10" i="1"/>
  <c r="AB10" i="1"/>
  <c r="AD10" i="1"/>
  <c r="AE10" i="1"/>
  <c r="AF10" i="1"/>
  <c r="AG10" i="1"/>
  <c r="AH10" i="1"/>
  <c r="AJ10" i="1"/>
  <c r="AL10" i="1"/>
  <c r="AN10" i="1"/>
  <c r="AO10" i="1"/>
  <c r="AP10" i="1"/>
  <c r="AQ10" i="1"/>
  <c r="AS10" i="1"/>
  <c r="AT10" i="1"/>
  <c r="AU10" i="1"/>
  <c r="AW10" i="1"/>
  <c r="AZ10" i="1"/>
  <c r="BB10" i="1"/>
  <c r="BC10" i="1"/>
  <c r="BE10" i="1"/>
  <c r="BF10" i="1"/>
  <c r="CS10" i="1"/>
  <c r="CT10" i="1"/>
  <c r="CU10" i="1"/>
  <c r="CV10" i="1"/>
  <c r="CW10" i="1"/>
  <c r="CX10" i="1"/>
  <c r="CY10" i="1"/>
  <c r="DV10" i="1"/>
  <c r="DW10" i="1"/>
  <c r="DY10" i="1"/>
  <c r="DZ10" i="1"/>
  <c r="FE10" i="1"/>
  <c r="FF10" i="1"/>
  <c r="FG10" i="1"/>
  <c r="FH10" i="1"/>
  <c r="FI10" i="1"/>
  <c r="FJ10" i="1"/>
  <c r="FK10" i="1"/>
  <c r="FL10" i="1"/>
  <c r="FM10" i="1"/>
  <c r="FN10" i="1"/>
  <c r="FO10" i="1"/>
  <c r="FP10" i="1"/>
  <c r="FQ10" i="1"/>
  <c r="FS10" i="1"/>
  <c r="FT10" i="1"/>
  <c r="FV10" i="1"/>
  <c r="FW10" i="1"/>
  <c r="FX10" i="1"/>
  <c r="FY10" i="1"/>
  <c r="FZ10" i="1"/>
  <c r="GA10" i="1"/>
  <c r="GB10" i="1"/>
  <c r="V11" i="1"/>
  <c r="X11" i="1"/>
  <c r="Y11" i="1"/>
  <c r="Z11" i="1"/>
  <c r="AA11" i="1"/>
  <c r="AB11" i="1"/>
  <c r="AD11" i="1"/>
  <c r="AE11" i="1"/>
  <c r="AF11" i="1"/>
  <c r="AG11" i="1"/>
  <c r="AH11" i="1"/>
  <c r="AJ11" i="1"/>
  <c r="AL11" i="1"/>
  <c r="AN11" i="1"/>
  <c r="AO11" i="1"/>
  <c r="AP11" i="1"/>
  <c r="AQ11" i="1"/>
  <c r="AS11" i="1"/>
  <c r="AT11" i="1"/>
  <c r="AU11" i="1"/>
  <c r="AW11" i="1"/>
  <c r="AZ11" i="1"/>
  <c r="BB11" i="1"/>
  <c r="BC11" i="1"/>
  <c r="BE11" i="1"/>
  <c r="BF11" i="1"/>
  <c r="CS11" i="1"/>
  <c r="CT11" i="1"/>
  <c r="CU11" i="1"/>
  <c r="CV11" i="1"/>
  <c r="CW11" i="1"/>
  <c r="CX11" i="1"/>
  <c r="CY11" i="1"/>
  <c r="DV11" i="1"/>
  <c r="DW11" i="1"/>
  <c r="DY11" i="1"/>
  <c r="DZ11" i="1"/>
  <c r="FE11" i="1"/>
  <c r="FF11" i="1"/>
  <c r="FG11" i="1"/>
  <c r="FH11" i="1"/>
  <c r="FI11" i="1"/>
  <c r="FJ11" i="1"/>
  <c r="FK11" i="1"/>
  <c r="FL11" i="1"/>
  <c r="FM11" i="1"/>
  <c r="FN11" i="1"/>
  <c r="FO11" i="1"/>
  <c r="FP11" i="1"/>
  <c r="FQ11" i="1"/>
  <c r="FS11" i="1"/>
  <c r="FT11" i="1"/>
  <c r="FV11" i="1"/>
  <c r="FW11" i="1"/>
  <c r="FX11" i="1"/>
  <c r="FY11" i="1"/>
  <c r="FZ11" i="1"/>
  <c r="GA11" i="1"/>
  <c r="GB11" i="1"/>
  <c r="V12" i="1"/>
  <c r="X12" i="1"/>
  <c r="Y12" i="1"/>
  <c r="Z12" i="1"/>
  <c r="AA12" i="1"/>
  <c r="AB12" i="1"/>
  <c r="AD12" i="1"/>
  <c r="AE12" i="1"/>
  <c r="AF12" i="1"/>
  <c r="AG12" i="1"/>
  <c r="AH12" i="1"/>
  <c r="AJ12" i="1"/>
  <c r="AL12" i="1"/>
  <c r="AN12" i="1"/>
  <c r="AO12" i="1"/>
  <c r="AP12" i="1"/>
  <c r="AQ12" i="1"/>
  <c r="AS12" i="1"/>
  <c r="AT12" i="1"/>
  <c r="AU12" i="1"/>
  <c r="AW12" i="1"/>
  <c r="AZ12" i="1"/>
  <c r="BB12" i="1"/>
  <c r="BC12" i="1"/>
  <c r="BE12" i="1"/>
  <c r="BF12" i="1"/>
  <c r="CS12" i="1"/>
  <c r="CT12" i="1"/>
  <c r="CU12" i="1"/>
  <c r="CV12" i="1"/>
  <c r="CW12" i="1"/>
  <c r="CX12" i="1"/>
  <c r="CY12" i="1"/>
  <c r="DV12" i="1"/>
  <c r="DW12" i="1"/>
  <c r="DY12" i="1"/>
  <c r="DZ12" i="1"/>
  <c r="FE12" i="1"/>
  <c r="FF12" i="1"/>
  <c r="FG12" i="1"/>
  <c r="FH12" i="1"/>
  <c r="FI12" i="1"/>
  <c r="FJ12" i="1"/>
  <c r="FK12" i="1"/>
  <c r="FL12" i="1"/>
  <c r="FM12" i="1"/>
  <c r="FN12" i="1"/>
  <c r="FO12" i="1"/>
  <c r="FP12" i="1"/>
  <c r="FQ12" i="1"/>
  <c r="FS12" i="1"/>
  <c r="FT12" i="1"/>
  <c r="FV12" i="1"/>
  <c r="FW12" i="1"/>
  <c r="FX12" i="1"/>
  <c r="FY12" i="1"/>
  <c r="FZ12" i="1"/>
  <c r="GA12" i="1"/>
  <c r="GB12" i="1"/>
  <c r="V13" i="1"/>
  <c r="X13" i="1"/>
  <c r="Y13" i="1"/>
  <c r="Z13" i="1"/>
  <c r="AA13" i="1"/>
  <c r="AB13" i="1"/>
  <c r="AD13" i="1"/>
  <c r="AE13" i="1"/>
  <c r="AF13" i="1"/>
  <c r="AG13" i="1"/>
  <c r="AH13" i="1"/>
  <c r="AJ13" i="1"/>
  <c r="AL13" i="1"/>
  <c r="AN13" i="1"/>
  <c r="AO13" i="1"/>
  <c r="AP13" i="1"/>
  <c r="AQ13" i="1"/>
  <c r="AS13" i="1"/>
  <c r="AT13" i="1"/>
  <c r="AU13" i="1"/>
  <c r="AW13" i="1"/>
  <c r="AZ13" i="1"/>
  <c r="BB13" i="1"/>
  <c r="BC13" i="1"/>
  <c r="BE13" i="1"/>
  <c r="BF13" i="1"/>
  <c r="CS13" i="1"/>
  <c r="CT13" i="1"/>
  <c r="CU13" i="1"/>
  <c r="CV13" i="1"/>
  <c r="CW13" i="1"/>
  <c r="CX13" i="1"/>
  <c r="CY13" i="1"/>
  <c r="DV13" i="1"/>
  <c r="DW13" i="1"/>
  <c r="DY13" i="1"/>
  <c r="DZ13" i="1"/>
  <c r="FE13" i="1"/>
  <c r="FF13" i="1"/>
  <c r="FG13" i="1"/>
  <c r="FH13" i="1"/>
  <c r="FI13" i="1"/>
  <c r="FJ13" i="1"/>
  <c r="FK13" i="1"/>
  <c r="FL13" i="1"/>
  <c r="FM13" i="1"/>
  <c r="FN13" i="1"/>
  <c r="FO13" i="1"/>
  <c r="FP13" i="1"/>
  <c r="FQ13" i="1"/>
  <c r="FS13" i="1"/>
  <c r="FT13" i="1"/>
  <c r="FV13" i="1"/>
  <c r="FW13" i="1"/>
  <c r="FX13" i="1"/>
  <c r="FY13" i="1"/>
  <c r="FZ13" i="1"/>
  <c r="GA13" i="1"/>
  <c r="GB13" i="1"/>
  <c r="V14" i="1"/>
  <c r="X14" i="1"/>
  <c r="Y14" i="1"/>
  <c r="Z14" i="1"/>
  <c r="AA14" i="1"/>
  <c r="AB14" i="1"/>
  <c r="AD14" i="1"/>
  <c r="AE14" i="1"/>
  <c r="AF14" i="1"/>
  <c r="AG14" i="1"/>
  <c r="AH14" i="1"/>
  <c r="AJ14" i="1"/>
  <c r="AL14" i="1"/>
  <c r="AN14" i="1"/>
  <c r="AO14" i="1"/>
  <c r="AP14" i="1"/>
  <c r="AQ14" i="1"/>
  <c r="AS14" i="1"/>
  <c r="AT14" i="1"/>
  <c r="AU14" i="1"/>
  <c r="AW14" i="1"/>
  <c r="AZ14" i="1"/>
  <c r="BB14" i="1"/>
  <c r="BC14" i="1"/>
  <c r="BE14" i="1"/>
  <c r="BF14" i="1"/>
  <c r="CS14" i="1"/>
  <c r="CT14" i="1"/>
  <c r="CU14" i="1"/>
  <c r="CV14" i="1"/>
  <c r="CW14" i="1"/>
  <c r="CX14" i="1"/>
  <c r="CY14" i="1"/>
  <c r="DV14" i="1"/>
  <c r="DW14" i="1"/>
  <c r="DY14" i="1"/>
  <c r="DZ14" i="1"/>
  <c r="FE14" i="1"/>
  <c r="FF14" i="1"/>
  <c r="FG14" i="1"/>
  <c r="FH14" i="1"/>
  <c r="FI14" i="1"/>
  <c r="FJ14" i="1"/>
  <c r="FK14" i="1"/>
  <c r="FL14" i="1"/>
  <c r="FM14" i="1"/>
  <c r="FN14" i="1"/>
  <c r="FO14" i="1"/>
  <c r="FP14" i="1"/>
  <c r="FQ14" i="1"/>
  <c r="FS14" i="1"/>
  <c r="FT14" i="1"/>
  <c r="FV14" i="1"/>
  <c r="FW14" i="1"/>
  <c r="FX14" i="1"/>
  <c r="FY14" i="1"/>
  <c r="FZ14" i="1"/>
  <c r="GA14" i="1"/>
  <c r="GB14" i="1"/>
  <c r="V15" i="1"/>
  <c r="X15" i="1"/>
  <c r="Y15" i="1"/>
  <c r="Z15" i="1"/>
  <c r="AA15" i="1"/>
  <c r="AB15" i="1"/>
  <c r="AD15" i="1"/>
  <c r="AE15" i="1"/>
  <c r="AF15" i="1"/>
  <c r="AG15" i="1"/>
  <c r="AH15" i="1"/>
  <c r="AJ15" i="1"/>
  <c r="AL15" i="1"/>
  <c r="AN15" i="1"/>
  <c r="AO15" i="1"/>
  <c r="AP15" i="1"/>
  <c r="AQ15" i="1"/>
  <c r="AS15" i="1"/>
  <c r="AT15" i="1"/>
  <c r="AU15" i="1"/>
  <c r="AW15" i="1"/>
  <c r="AZ15" i="1"/>
  <c r="BB15" i="1"/>
  <c r="BC15" i="1"/>
  <c r="BE15" i="1"/>
  <c r="BF15" i="1"/>
  <c r="CS15" i="1"/>
  <c r="CT15" i="1"/>
  <c r="CU15" i="1"/>
  <c r="CV15" i="1"/>
  <c r="CW15" i="1"/>
  <c r="CX15" i="1"/>
  <c r="CY15" i="1"/>
  <c r="DV15" i="1"/>
  <c r="DW15" i="1"/>
  <c r="DY15" i="1"/>
  <c r="DZ15" i="1"/>
  <c r="FE15" i="1"/>
  <c r="FF15" i="1"/>
  <c r="FG15" i="1"/>
  <c r="FH15" i="1"/>
  <c r="FI15" i="1"/>
  <c r="FJ15" i="1"/>
  <c r="FK15" i="1"/>
  <c r="FL15" i="1"/>
  <c r="FM15" i="1"/>
  <c r="FN15" i="1"/>
  <c r="FO15" i="1"/>
  <c r="FP15" i="1"/>
  <c r="FQ15" i="1"/>
  <c r="FS15" i="1"/>
  <c r="FT15" i="1"/>
  <c r="FV15" i="1"/>
  <c r="FW15" i="1"/>
  <c r="FX15" i="1"/>
  <c r="FY15" i="1"/>
  <c r="FZ15" i="1"/>
  <c r="GA15" i="1"/>
  <c r="GB15" i="1"/>
  <c r="V16" i="1"/>
  <c r="X16" i="1"/>
  <c r="Y16" i="1"/>
  <c r="Z16" i="1"/>
  <c r="AA16" i="1"/>
  <c r="AB16" i="1"/>
  <c r="AD16" i="1"/>
  <c r="AE16" i="1"/>
  <c r="AF16" i="1"/>
  <c r="AG16" i="1"/>
  <c r="AH16" i="1"/>
  <c r="AJ16" i="1"/>
  <c r="AL16" i="1"/>
  <c r="AN16" i="1"/>
  <c r="AO16" i="1"/>
  <c r="AP16" i="1"/>
  <c r="AQ16" i="1"/>
  <c r="AS16" i="1"/>
  <c r="AT16" i="1"/>
  <c r="AU16" i="1"/>
  <c r="AW16" i="1"/>
  <c r="AZ16" i="1"/>
  <c r="BB16" i="1"/>
  <c r="BC16" i="1"/>
  <c r="BE16" i="1"/>
  <c r="BF16" i="1"/>
  <c r="CS16" i="1"/>
  <c r="CT16" i="1"/>
  <c r="CU16" i="1"/>
  <c r="CV16" i="1"/>
  <c r="CW16" i="1"/>
  <c r="CX16" i="1"/>
  <c r="CY16" i="1"/>
  <c r="DV16" i="1"/>
  <c r="DW16" i="1"/>
  <c r="DY16" i="1"/>
  <c r="DZ16" i="1"/>
  <c r="FE16" i="1"/>
  <c r="FF16" i="1"/>
  <c r="FG16" i="1"/>
  <c r="FH16" i="1"/>
  <c r="FI16" i="1"/>
  <c r="FJ16" i="1"/>
  <c r="FK16" i="1"/>
  <c r="FL16" i="1"/>
  <c r="FM16" i="1"/>
  <c r="FN16" i="1"/>
  <c r="FO16" i="1"/>
  <c r="FP16" i="1"/>
  <c r="FQ16" i="1"/>
  <c r="FS16" i="1"/>
  <c r="FT16" i="1"/>
  <c r="FV16" i="1"/>
  <c r="FW16" i="1"/>
  <c r="FX16" i="1"/>
  <c r="FY16" i="1"/>
  <c r="FZ16" i="1"/>
  <c r="GA16" i="1"/>
  <c r="GB16" i="1"/>
  <c r="V17" i="1"/>
  <c r="X17" i="1"/>
  <c r="Y17" i="1"/>
  <c r="Z17" i="1"/>
  <c r="AA17" i="1"/>
  <c r="AB17" i="1"/>
  <c r="AD17" i="1"/>
  <c r="AE17" i="1"/>
  <c r="AF17" i="1"/>
  <c r="AG17" i="1"/>
  <c r="AH17" i="1"/>
  <c r="AJ17" i="1"/>
  <c r="AL17" i="1"/>
  <c r="AN17" i="1"/>
  <c r="AO17" i="1"/>
  <c r="AP17" i="1"/>
  <c r="AQ17" i="1"/>
  <c r="AS17" i="1"/>
  <c r="AT17" i="1"/>
  <c r="AU17" i="1"/>
  <c r="AW17" i="1"/>
  <c r="AZ17" i="1"/>
  <c r="BB17" i="1"/>
  <c r="BC17" i="1"/>
  <c r="BE17" i="1"/>
  <c r="BF17" i="1"/>
  <c r="CS17" i="1"/>
  <c r="CT17" i="1"/>
  <c r="CU17" i="1"/>
  <c r="CV17" i="1"/>
  <c r="CW17" i="1"/>
  <c r="CX17" i="1"/>
  <c r="CY17" i="1"/>
  <c r="DV17" i="1"/>
  <c r="DW17" i="1"/>
  <c r="DY17" i="1"/>
  <c r="DZ17" i="1"/>
  <c r="FE17" i="1"/>
  <c r="FF17" i="1"/>
  <c r="FG17" i="1"/>
  <c r="FH17" i="1"/>
  <c r="FI17" i="1"/>
  <c r="FJ17" i="1"/>
  <c r="FK17" i="1"/>
  <c r="FL17" i="1"/>
  <c r="FM17" i="1"/>
  <c r="FN17" i="1"/>
  <c r="FO17" i="1"/>
  <c r="FP17" i="1"/>
  <c r="FQ17" i="1"/>
  <c r="FS17" i="1"/>
  <c r="FT17" i="1"/>
  <c r="FV17" i="1"/>
  <c r="FW17" i="1"/>
  <c r="FX17" i="1"/>
  <c r="FY17" i="1"/>
  <c r="FZ17" i="1"/>
  <c r="GA17" i="1"/>
  <c r="GB17" i="1"/>
  <c r="V18" i="1"/>
  <c r="X18" i="1"/>
  <c r="Y18" i="1"/>
  <c r="Z18" i="1"/>
  <c r="AA18" i="1"/>
  <c r="AB18" i="1"/>
  <c r="AD18" i="1"/>
  <c r="AE18" i="1"/>
  <c r="AF18" i="1"/>
  <c r="AG18" i="1"/>
  <c r="AH18" i="1"/>
  <c r="AJ18" i="1"/>
  <c r="AL18" i="1"/>
  <c r="AN18" i="1"/>
  <c r="AO18" i="1"/>
  <c r="AP18" i="1"/>
  <c r="AQ18" i="1"/>
  <c r="AS18" i="1"/>
  <c r="AT18" i="1"/>
  <c r="AU18" i="1"/>
  <c r="AW18" i="1"/>
  <c r="AZ18" i="1"/>
  <c r="BB18" i="1"/>
  <c r="BC18" i="1"/>
  <c r="BE18" i="1"/>
  <c r="BF18" i="1"/>
  <c r="CS18" i="1"/>
  <c r="CT18" i="1"/>
  <c r="CU18" i="1"/>
  <c r="CV18" i="1"/>
  <c r="CW18" i="1"/>
  <c r="CX18" i="1"/>
  <c r="CY18" i="1"/>
  <c r="DV18" i="1"/>
  <c r="DW18" i="1"/>
  <c r="DY18" i="1"/>
  <c r="DZ18" i="1"/>
  <c r="FE18" i="1"/>
  <c r="FF18" i="1"/>
  <c r="FG18" i="1"/>
  <c r="FH18" i="1"/>
  <c r="FI18" i="1"/>
  <c r="FJ18" i="1"/>
  <c r="FK18" i="1"/>
  <c r="FL18" i="1"/>
  <c r="FM18" i="1"/>
  <c r="FN18" i="1"/>
  <c r="FO18" i="1"/>
  <c r="FP18" i="1"/>
  <c r="FQ18" i="1"/>
  <c r="FS18" i="1"/>
  <c r="FT18" i="1"/>
  <c r="FV18" i="1"/>
  <c r="FW18" i="1"/>
  <c r="FX18" i="1"/>
  <c r="FY18" i="1"/>
  <c r="FZ18" i="1"/>
  <c r="GA18" i="1"/>
  <c r="GB18" i="1"/>
  <c r="V19" i="1"/>
  <c r="X19" i="1"/>
  <c r="Y19" i="1"/>
  <c r="Z19" i="1"/>
  <c r="AA19" i="1"/>
  <c r="AB19" i="1"/>
  <c r="AD19" i="1"/>
  <c r="AE19" i="1"/>
  <c r="AF19" i="1"/>
  <c r="AG19" i="1"/>
  <c r="AH19" i="1"/>
  <c r="AJ19" i="1"/>
  <c r="AL19" i="1"/>
  <c r="AN19" i="1"/>
  <c r="AO19" i="1"/>
  <c r="AP19" i="1"/>
  <c r="AQ19" i="1"/>
  <c r="AS19" i="1"/>
  <c r="AT19" i="1"/>
  <c r="AU19" i="1"/>
  <c r="AW19" i="1"/>
  <c r="AZ19" i="1"/>
  <c r="BB19" i="1"/>
  <c r="BC19" i="1"/>
  <c r="BE19" i="1"/>
  <c r="BF19" i="1"/>
  <c r="CS19" i="1"/>
  <c r="CT19" i="1"/>
  <c r="CU19" i="1"/>
  <c r="CV19" i="1"/>
  <c r="CW19" i="1"/>
  <c r="CX19" i="1"/>
  <c r="CY19" i="1"/>
  <c r="DV19" i="1"/>
  <c r="DW19" i="1"/>
  <c r="DY19" i="1"/>
  <c r="DZ19" i="1"/>
  <c r="FE19" i="1"/>
  <c r="FF19" i="1"/>
  <c r="FG19" i="1"/>
  <c r="FH19" i="1"/>
  <c r="FI19" i="1"/>
  <c r="FJ19" i="1"/>
  <c r="FK19" i="1"/>
  <c r="FL19" i="1"/>
  <c r="FM19" i="1"/>
  <c r="FN19" i="1"/>
  <c r="FO19" i="1"/>
  <c r="FP19" i="1"/>
  <c r="FQ19" i="1"/>
  <c r="FS19" i="1"/>
  <c r="FT19" i="1"/>
  <c r="FV19" i="1"/>
  <c r="FW19" i="1"/>
  <c r="FX19" i="1"/>
  <c r="FY19" i="1"/>
  <c r="FZ19" i="1"/>
  <c r="GA19" i="1"/>
  <c r="GB19" i="1"/>
  <c r="V20" i="1"/>
  <c r="X20" i="1"/>
  <c r="Y20" i="1"/>
  <c r="Z20" i="1"/>
  <c r="AA20" i="1"/>
  <c r="AB20" i="1"/>
  <c r="AD20" i="1"/>
  <c r="AE20" i="1"/>
  <c r="AF20" i="1"/>
  <c r="AG20" i="1"/>
  <c r="AH20" i="1"/>
  <c r="AJ20" i="1"/>
  <c r="AL20" i="1"/>
  <c r="AN20" i="1"/>
  <c r="AO20" i="1"/>
  <c r="AP20" i="1"/>
  <c r="AQ20" i="1"/>
  <c r="AS20" i="1"/>
  <c r="AT20" i="1"/>
  <c r="AU20" i="1"/>
  <c r="AW20" i="1"/>
  <c r="AZ20" i="1"/>
  <c r="BB20" i="1"/>
  <c r="BC20" i="1"/>
  <c r="BE20" i="1"/>
  <c r="BF20" i="1"/>
  <c r="CS20" i="1"/>
  <c r="CT20" i="1"/>
  <c r="CU20" i="1"/>
  <c r="CV20" i="1"/>
  <c r="CW20" i="1"/>
  <c r="CX20" i="1"/>
  <c r="CY20" i="1"/>
  <c r="DV20" i="1"/>
  <c r="DW20" i="1"/>
  <c r="DY20" i="1"/>
  <c r="DZ20" i="1"/>
  <c r="FE20" i="1"/>
  <c r="FF20" i="1"/>
  <c r="FG20" i="1"/>
  <c r="FH20" i="1"/>
  <c r="FI20" i="1"/>
  <c r="FJ20" i="1"/>
  <c r="FK20" i="1"/>
  <c r="FL20" i="1"/>
  <c r="FM20" i="1"/>
  <c r="FN20" i="1"/>
  <c r="FO20" i="1"/>
  <c r="FP20" i="1"/>
  <c r="FQ20" i="1"/>
  <c r="FS20" i="1"/>
  <c r="FT20" i="1"/>
  <c r="FV20" i="1"/>
  <c r="FW20" i="1"/>
  <c r="FX20" i="1"/>
  <c r="FY20" i="1"/>
  <c r="FZ20" i="1"/>
  <c r="GA20" i="1"/>
  <c r="GB20" i="1"/>
  <c r="V21" i="1"/>
  <c r="X21" i="1"/>
  <c r="Y21" i="1"/>
  <c r="Z21" i="1"/>
  <c r="AA21" i="1"/>
  <c r="AB21" i="1"/>
  <c r="AD21" i="1"/>
  <c r="AE21" i="1"/>
  <c r="AF21" i="1"/>
  <c r="AG21" i="1"/>
  <c r="AH21" i="1"/>
  <c r="AJ21" i="1"/>
  <c r="AL21" i="1"/>
  <c r="AN21" i="1"/>
  <c r="AO21" i="1"/>
  <c r="AP21" i="1"/>
  <c r="AQ21" i="1"/>
  <c r="AS21" i="1"/>
  <c r="AT21" i="1"/>
  <c r="AU21" i="1"/>
  <c r="AW21" i="1"/>
  <c r="AZ21" i="1"/>
  <c r="BB21" i="1"/>
  <c r="BC21" i="1"/>
  <c r="BE21" i="1"/>
  <c r="BF21" i="1"/>
  <c r="CS21" i="1"/>
  <c r="CT21" i="1"/>
  <c r="CU21" i="1"/>
  <c r="CV21" i="1"/>
  <c r="CW21" i="1"/>
  <c r="CX21" i="1"/>
  <c r="CY21" i="1"/>
  <c r="DV21" i="1"/>
  <c r="DW21" i="1"/>
  <c r="DY21" i="1"/>
  <c r="DZ21" i="1"/>
  <c r="FE21" i="1"/>
  <c r="FF21" i="1"/>
  <c r="FG21" i="1"/>
  <c r="FH21" i="1"/>
  <c r="FI21" i="1"/>
  <c r="FJ21" i="1"/>
  <c r="FK21" i="1"/>
  <c r="FL21" i="1"/>
  <c r="FM21" i="1"/>
  <c r="FN21" i="1"/>
  <c r="FO21" i="1"/>
  <c r="FP21" i="1"/>
  <c r="FQ21" i="1"/>
  <c r="FS21" i="1"/>
  <c r="FT21" i="1"/>
  <c r="FV21" i="1"/>
  <c r="FW21" i="1"/>
  <c r="FX21" i="1"/>
  <c r="FY21" i="1"/>
  <c r="FZ21" i="1"/>
  <c r="GA21" i="1"/>
  <c r="GB21" i="1"/>
  <c r="V22" i="1"/>
  <c r="X22" i="1"/>
  <c r="Y22" i="1"/>
  <c r="Z22" i="1"/>
  <c r="AA22" i="1"/>
  <c r="AB22" i="1"/>
  <c r="AD22" i="1"/>
  <c r="AE22" i="1"/>
  <c r="AF22" i="1"/>
  <c r="AG22" i="1"/>
  <c r="AH22" i="1"/>
  <c r="AJ22" i="1"/>
  <c r="AL22" i="1"/>
  <c r="AN22" i="1"/>
  <c r="AO22" i="1"/>
  <c r="AP22" i="1"/>
  <c r="AQ22" i="1"/>
  <c r="AS22" i="1"/>
  <c r="AT22" i="1"/>
  <c r="AU22" i="1"/>
  <c r="AW22" i="1"/>
  <c r="AZ22" i="1"/>
  <c r="BB22" i="1"/>
  <c r="BC22" i="1"/>
  <c r="BE22" i="1"/>
  <c r="BF22" i="1"/>
  <c r="CS22" i="1"/>
  <c r="CT22" i="1"/>
  <c r="CU22" i="1"/>
  <c r="CV22" i="1"/>
  <c r="CW22" i="1"/>
  <c r="CX22" i="1"/>
  <c r="CY22" i="1"/>
  <c r="DV22" i="1"/>
  <c r="DW22" i="1"/>
  <c r="DY22" i="1"/>
  <c r="DZ22" i="1"/>
  <c r="FE22" i="1"/>
  <c r="FF22" i="1"/>
  <c r="FG22" i="1"/>
  <c r="FH22" i="1"/>
  <c r="FI22" i="1"/>
  <c r="FJ22" i="1"/>
  <c r="FK22" i="1"/>
  <c r="FL22" i="1"/>
  <c r="FM22" i="1"/>
  <c r="FN22" i="1"/>
  <c r="FO22" i="1"/>
  <c r="FP22" i="1"/>
  <c r="FQ22" i="1"/>
  <c r="FS22" i="1"/>
  <c r="FT22" i="1"/>
  <c r="FV22" i="1"/>
  <c r="FW22" i="1"/>
  <c r="FX22" i="1"/>
  <c r="FY22" i="1"/>
  <c r="FZ22" i="1"/>
  <c r="GA22" i="1"/>
  <c r="GB22" i="1"/>
  <c r="V23" i="1"/>
  <c r="X23" i="1"/>
  <c r="Y23" i="1"/>
  <c r="Z23" i="1"/>
  <c r="AA23" i="1"/>
  <c r="AB23" i="1"/>
  <c r="AD23" i="1"/>
  <c r="AE23" i="1"/>
  <c r="AF23" i="1"/>
  <c r="AG23" i="1"/>
  <c r="AH23" i="1"/>
  <c r="AJ23" i="1"/>
  <c r="AL23" i="1"/>
  <c r="AN23" i="1"/>
  <c r="AO23" i="1"/>
  <c r="AP23" i="1"/>
  <c r="AQ23" i="1"/>
  <c r="AS23" i="1"/>
  <c r="AT23" i="1"/>
  <c r="AU23" i="1"/>
  <c r="AW23" i="1"/>
  <c r="AZ23" i="1"/>
  <c r="BB23" i="1"/>
  <c r="BC23" i="1"/>
  <c r="BE23" i="1"/>
  <c r="BF23" i="1"/>
  <c r="CS23" i="1"/>
  <c r="CT23" i="1"/>
  <c r="CU23" i="1"/>
  <c r="CV23" i="1"/>
  <c r="CW23" i="1"/>
  <c r="CX23" i="1"/>
  <c r="CY23" i="1"/>
  <c r="DV23" i="1"/>
  <c r="DW23" i="1"/>
  <c r="DY23" i="1"/>
  <c r="DZ23" i="1"/>
  <c r="FE23" i="1"/>
  <c r="FF23" i="1"/>
  <c r="FG23" i="1"/>
  <c r="FH23" i="1"/>
  <c r="FI23" i="1"/>
  <c r="FJ23" i="1"/>
  <c r="FK23" i="1"/>
  <c r="FL23" i="1"/>
  <c r="FM23" i="1"/>
  <c r="FN23" i="1"/>
  <c r="FO23" i="1"/>
  <c r="FP23" i="1"/>
  <c r="FQ23" i="1"/>
  <c r="FS23" i="1"/>
  <c r="FT23" i="1"/>
  <c r="FV23" i="1"/>
  <c r="FW23" i="1"/>
  <c r="FX23" i="1"/>
  <c r="FY23" i="1"/>
  <c r="FZ23" i="1"/>
  <c r="GA23" i="1"/>
  <c r="GB23" i="1"/>
  <c r="V24" i="1"/>
  <c r="X24" i="1"/>
  <c r="Y24" i="1"/>
  <c r="Z24" i="1"/>
  <c r="AA24" i="1"/>
  <c r="AB24" i="1"/>
  <c r="AD24" i="1"/>
  <c r="AE24" i="1"/>
  <c r="AF24" i="1"/>
  <c r="AG24" i="1"/>
  <c r="AH24" i="1"/>
  <c r="AJ24" i="1"/>
  <c r="AL24" i="1"/>
  <c r="AN24" i="1"/>
  <c r="AO24" i="1"/>
  <c r="AP24" i="1"/>
  <c r="AQ24" i="1"/>
  <c r="AS24" i="1"/>
  <c r="AT24" i="1"/>
  <c r="AU24" i="1"/>
  <c r="AW24" i="1"/>
  <c r="AZ24" i="1"/>
  <c r="BB24" i="1"/>
  <c r="BC24" i="1"/>
  <c r="BE24" i="1"/>
  <c r="BF24" i="1"/>
  <c r="CS24" i="1"/>
  <c r="CT24" i="1"/>
  <c r="CU24" i="1"/>
  <c r="CV24" i="1"/>
  <c r="CW24" i="1"/>
  <c r="CX24" i="1"/>
  <c r="CY24" i="1"/>
  <c r="DV24" i="1"/>
  <c r="DW24" i="1"/>
  <c r="DY24" i="1"/>
  <c r="DZ24" i="1"/>
  <c r="FE24" i="1"/>
  <c r="FF24" i="1"/>
  <c r="FG24" i="1"/>
  <c r="FH24" i="1"/>
  <c r="FI24" i="1"/>
  <c r="FJ24" i="1"/>
  <c r="FK24" i="1"/>
  <c r="FL24" i="1"/>
  <c r="FM24" i="1"/>
  <c r="FN24" i="1"/>
  <c r="FO24" i="1"/>
  <c r="FP24" i="1"/>
  <c r="FQ24" i="1"/>
  <c r="FS24" i="1"/>
  <c r="FT24" i="1"/>
  <c r="FV24" i="1"/>
  <c r="FW24" i="1"/>
  <c r="FX24" i="1"/>
  <c r="FY24" i="1"/>
  <c r="FZ24" i="1"/>
  <c r="GA24" i="1"/>
  <c r="GB24" i="1"/>
  <c r="V25" i="1"/>
  <c r="X25" i="1"/>
  <c r="Y25" i="1"/>
  <c r="Z25" i="1"/>
  <c r="AA25" i="1"/>
  <c r="AB25" i="1"/>
  <c r="AD25" i="1"/>
  <c r="AE25" i="1"/>
  <c r="AF25" i="1"/>
  <c r="AG25" i="1"/>
  <c r="AH25" i="1"/>
  <c r="AJ25" i="1"/>
  <c r="AL25" i="1"/>
  <c r="AN25" i="1"/>
  <c r="AO25" i="1"/>
  <c r="AP25" i="1"/>
  <c r="AQ25" i="1"/>
  <c r="AS25" i="1"/>
  <c r="AT25" i="1"/>
  <c r="AU25" i="1"/>
  <c r="AW25" i="1"/>
  <c r="AZ25" i="1"/>
  <c r="BB25" i="1"/>
  <c r="BC25" i="1"/>
  <c r="BE25" i="1"/>
  <c r="BF25" i="1"/>
  <c r="CS25" i="1"/>
  <c r="CT25" i="1"/>
  <c r="CU25" i="1"/>
  <c r="CV25" i="1"/>
  <c r="CW25" i="1"/>
  <c r="CX25" i="1"/>
  <c r="CY25" i="1"/>
  <c r="DV25" i="1"/>
  <c r="DW25" i="1"/>
  <c r="DY25" i="1"/>
  <c r="DZ25" i="1"/>
  <c r="FE25" i="1"/>
  <c r="FF25" i="1"/>
  <c r="FG25" i="1"/>
  <c r="FH25" i="1"/>
  <c r="FI25" i="1"/>
  <c r="FJ25" i="1"/>
  <c r="FK25" i="1"/>
  <c r="FL25" i="1"/>
  <c r="FM25" i="1"/>
  <c r="FN25" i="1"/>
  <c r="FO25" i="1"/>
  <c r="FP25" i="1"/>
  <c r="FQ25" i="1"/>
  <c r="FS25" i="1"/>
  <c r="FT25" i="1"/>
  <c r="FV25" i="1"/>
  <c r="FW25" i="1"/>
  <c r="FX25" i="1"/>
  <c r="FY25" i="1"/>
  <c r="FZ25" i="1"/>
  <c r="GA25" i="1"/>
  <c r="GB25" i="1"/>
  <c r="V26" i="1"/>
  <c r="X26" i="1"/>
  <c r="Y26" i="1"/>
  <c r="Z26" i="1"/>
  <c r="AA26" i="1"/>
  <c r="AB26" i="1"/>
  <c r="AD26" i="1"/>
  <c r="AE26" i="1"/>
  <c r="AF26" i="1"/>
  <c r="AG26" i="1"/>
  <c r="AH26" i="1"/>
  <c r="AJ26" i="1"/>
  <c r="AL26" i="1"/>
  <c r="AN26" i="1"/>
  <c r="AO26" i="1"/>
  <c r="AP26" i="1"/>
  <c r="AQ26" i="1"/>
  <c r="AS26" i="1"/>
  <c r="AT26" i="1"/>
  <c r="AU26" i="1"/>
  <c r="AW26" i="1"/>
  <c r="AZ26" i="1"/>
  <c r="BB26" i="1"/>
  <c r="BC26" i="1"/>
  <c r="BE26" i="1"/>
  <c r="BF26" i="1"/>
  <c r="CS26" i="1"/>
  <c r="CT26" i="1"/>
  <c r="CU26" i="1"/>
  <c r="CV26" i="1"/>
  <c r="CW26" i="1"/>
  <c r="CX26" i="1"/>
  <c r="CY26" i="1"/>
  <c r="DV26" i="1"/>
  <c r="DW26" i="1"/>
  <c r="DY26" i="1"/>
  <c r="DZ26" i="1"/>
  <c r="FE26" i="1"/>
  <c r="FF26" i="1"/>
  <c r="FG26" i="1"/>
  <c r="FH26" i="1"/>
  <c r="FI26" i="1"/>
  <c r="FJ26" i="1"/>
  <c r="FK26" i="1"/>
  <c r="FL26" i="1"/>
  <c r="FM26" i="1"/>
  <c r="FN26" i="1"/>
  <c r="FO26" i="1"/>
  <c r="FP26" i="1"/>
  <c r="FQ26" i="1"/>
  <c r="FS26" i="1"/>
  <c r="FT26" i="1"/>
  <c r="FV26" i="1"/>
  <c r="FW26" i="1"/>
  <c r="FX26" i="1"/>
  <c r="FY26" i="1"/>
  <c r="FZ26" i="1"/>
  <c r="GA26" i="1"/>
  <c r="GB26" i="1"/>
  <c r="V27" i="1"/>
  <c r="X27" i="1"/>
  <c r="Y27" i="1"/>
  <c r="Z27" i="1"/>
  <c r="AA27" i="1"/>
  <c r="AB27" i="1"/>
  <c r="AD27" i="1"/>
  <c r="AE27" i="1"/>
  <c r="AF27" i="1"/>
  <c r="AG27" i="1"/>
  <c r="AH27" i="1"/>
  <c r="AJ27" i="1"/>
  <c r="AL27" i="1"/>
  <c r="AN27" i="1"/>
  <c r="AO27" i="1"/>
  <c r="AP27" i="1"/>
  <c r="AQ27" i="1"/>
  <c r="AS27" i="1"/>
  <c r="AT27" i="1"/>
  <c r="AU27" i="1"/>
  <c r="AW27" i="1"/>
  <c r="AZ27" i="1"/>
  <c r="BB27" i="1"/>
  <c r="BC27" i="1"/>
  <c r="BE27" i="1"/>
  <c r="BF27" i="1"/>
  <c r="CS27" i="1"/>
  <c r="CT27" i="1"/>
  <c r="CU27" i="1"/>
  <c r="CV27" i="1"/>
  <c r="CW27" i="1"/>
  <c r="CX27" i="1"/>
  <c r="CY27" i="1"/>
  <c r="DV27" i="1"/>
  <c r="DW27" i="1"/>
  <c r="DY27" i="1"/>
  <c r="DZ27" i="1"/>
  <c r="FE27" i="1"/>
  <c r="FF27" i="1"/>
  <c r="FG27" i="1"/>
  <c r="FH27" i="1"/>
  <c r="FI27" i="1"/>
  <c r="FJ27" i="1"/>
  <c r="FK27" i="1"/>
  <c r="FL27" i="1"/>
  <c r="FM27" i="1"/>
  <c r="FN27" i="1"/>
  <c r="FO27" i="1"/>
  <c r="FP27" i="1"/>
  <c r="FQ27" i="1"/>
  <c r="FS27" i="1"/>
  <c r="FT27" i="1"/>
  <c r="FV27" i="1"/>
  <c r="FW27" i="1"/>
  <c r="FX27" i="1"/>
  <c r="FY27" i="1"/>
  <c r="FZ27" i="1"/>
  <c r="GA27" i="1"/>
  <c r="GB27" i="1"/>
  <c r="V28" i="1"/>
  <c r="X28" i="1"/>
  <c r="Y28" i="1"/>
  <c r="Z28" i="1"/>
  <c r="AA28" i="1"/>
  <c r="AB28" i="1"/>
  <c r="AD28" i="1"/>
  <c r="AE28" i="1"/>
  <c r="AF28" i="1"/>
  <c r="AG28" i="1"/>
  <c r="AH28" i="1"/>
  <c r="AJ28" i="1"/>
  <c r="AL28" i="1"/>
  <c r="AN28" i="1"/>
  <c r="AO28" i="1"/>
  <c r="AP28" i="1"/>
  <c r="AQ28" i="1"/>
  <c r="AS28" i="1"/>
  <c r="AT28" i="1"/>
  <c r="AU28" i="1"/>
  <c r="AW28" i="1"/>
  <c r="AZ28" i="1"/>
  <c r="BB28" i="1"/>
  <c r="BC28" i="1"/>
  <c r="BE28" i="1"/>
  <c r="BF28" i="1"/>
  <c r="CS28" i="1"/>
  <c r="CT28" i="1"/>
  <c r="CU28" i="1"/>
  <c r="CV28" i="1"/>
  <c r="CW28" i="1"/>
  <c r="CX28" i="1"/>
  <c r="CY28" i="1"/>
  <c r="DV28" i="1"/>
  <c r="DW28" i="1"/>
  <c r="DY28" i="1"/>
  <c r="DZ28" i="1"/>
  <c r="FE28" i="1"/>
  <c r="FF28" i="1"/>
  <c r="FG28" i="1"/>
  <c r="FH28" i="1"/>
  <c r="FI28" i="1"/>
  <c r="FJ28" i="1"/>
  <c r="FK28" i="1"/>
  <c r="FL28" i="1"/>
  <c r="FM28" i="1"/>
  <c r="FN28" i="1"/>
  <c r="FO28" i="1"/>
  <c r="FP28" i="1"/>
  <c r="FQ28" i="1"/>
  <c r="FS28" i="1"/>
  <c r="FT28" i="1"/>
  <c r="FV28" i="1"/>
  <c r="FW28" i="1"/>
  <c r="FX28" i="1"/>
  <c r="FY28" i="1"/>
  <c r="FZ28" i="1"/>
  <c r="GA28" i="1"/>
  <c r="GB28" i="1"/>
  <c r="V29" i="1"/>
  <c r="X29" i="1"/>
  <c r="Y29" i="1"/>
  <c r="Z29" i="1"/>
  <c r="AA29" i="1"/>
  <c r="AB29" i="1"/>
  <c r="AD29" i="1"/>
  <c r="AE29" i="1"/>
  <c r="AF29" i="1"/>
  <c r="AG29" i="1"/>
  <c r="AH29" i="1"/>
  <c r="AJ29" i="1"/>
  <c r="AL29" i="1"/>
  <c r="AN29" i="1"/>
  <c r="AO29" i="1"/>
  <c r="AP29" i="1"/>
  <c r="AQ29" i="1"/>
  <c r="AS29" i="1"/>
  <c r="AT29" i="1"/>
  <c r="AU29" i="1"/>
  <c r="AW29" i="1"/>
  <c r="AZ29" i="1"/>
  <c r="BB29" i="1"/>
  <c r="BC29" i="1"/>
  <c r="BE29" i="1"/>
  <c r="BF29" i="1"/>
  <c r="CS29" i="1"/>
  <c r="CT29" i="1"/>
  <c r="CU29" i="1"/>
  <c r="CV29" i="1"/>
  <c r="CW29" i="1"/>
  <c r="CX29" i="1"/>
  <c r="CY29" i="1"/>
  <c r="DV29" i="1"/>
  <c r="DW29" i="1"/>
  <c r="DY29" i="1"/>
  <c r="DZ29" i="1"/>
  <c r="FE29" i="1"/>
  <c r="FF29" i="1"/>
  <c r="FG29" i="1"/>
  <c r="FH29" i="1"/>
  <c r="FI29" i="1"/>
  <c r="FJ29" i="1"/>
  <c r="FK29" i="1"/>
  <c r="FL29" i="1"/>
  <c r="FM29" i="1"/>
  <c r="FN29" i="1"/>
  <c r="FO29" i="1"/>
  <c r="FP29" i="1"/>
  <c r="FQ29" i="1"/>
  <c r="FS29" i="1"/>
  <c r="FT29" i="1"/>
  <c r="FV29" i="1"/>
  <c r="FW29" i="1"/>
  <c r="FX29" i="1"/>
  <c r="FY29" i="1"/>
  <c r="FZ29" i="1"/>
  <c r="GA29" i="1"/>
  <c r="GB29" i="1"/>
  <c r="V30" i="1"/>
  <c r="X30" i="1"/>
  <c r="Y30" i="1"/>
  <c r="Z30" i="1"/>
  <c r="AA30" i="1"/>
  <c r="AB30" i="1"/>
  <c r="AD30" i="1"/>
  <c r="AE30" i="1"/>
  <c r="AF30" i="1"/>
  <c r="AG30" i="1"/>
  <c r="AH30" i="1"/>
  <c r="AJ30" i="1"/>
  <c r="AL30" i="1"/>
  <c r="AN30" i="1"/>
  <c r="AO30" i="1"/>
  <c r="AP30" i="1"/>
  <c r="AQ30" i="1"/>
  <c r="AS30" i="1"/>
  <c r="AT30" i="1"/>
  <c r="AU30" i="1"/>
  <c r="AW30" i="1"/>
  <c r="AZ30" i="1"/>
  <c r="BB30" i="1"/>
  <c r="BC30" i="1"/>
  <c r="BE30" i="1"/>
  <c r="BF30" i="1"/>
  <c r="CS30" i="1"/>
  <c r="CT30" i="1"/>
  <c r="CU30" i="1"/>
  <c r="CV30" i="1"/>
  <c r="CW30" i="1"/>
  <c r="CX30" i="1"/>
  <c r="CY30" i="1"/>
  <c r="DV30" i="1"/>
  <c r="DW30" i="1"/>
  <c r="DY30" i="1"/>
  <c r="DZ30" i="1"/>
  <c r="FE30" i="1"/>
  <c r="FF30" i="1"/>
  <c r="FG30" i="1"/>
  <c r="FH30" i="1"/>
  <c r="FI30" i="1"/>
  <c r="FJ30" i="1"/>
  <c r="FK30" i="1"/>
  <c r="FL30" i="1"/>
  <c r="FM30" i="1"/>
  <c r="FN30" i="1"/>
  <c r="FO30" i="1"/>
  <c r="FP30" i="1"/>
  <c r="FQ30" i="1"/>
  <c r="FS30" i="1"/>
  <c r="FT30" i="1"/>
  <c r="FV30" i="1"/>
  <c r="FW30" i="1"/>
  <c r="FX30" i="1"/>
  <c r="FY30" i="1"/>
  <c r="FZ30" i="1"/>
  <c r="GA30" i="1"/>
  <c r="GB30" i="1"/>
  <c r="V31" i="1"/>
  <c r="X31" i="1"/>
  <c r="Y31" i="1"/>
  <c r="Z31" i="1"/>
  <c r="AA31" i="1"/>
  <c r="AB31" i="1"/>
  <c r="AD31" i="1"/>
  <c r="AE31" i="1"/>
  <c r="AF31" i="1"/>
  <c r="AG31" i="1"/>
  <c r="AH31" i="1"/>
  <c r="AJ31" i="1"/>
  <c r="AL31" i="1"/>
  <c r="AN31" i="1"/>
  <c r="AO31" i="1"/>
  <c r="AP31" i="1"/>
  <c r="AQ31" i="1"/>
  <c r="AS31" i="1"/>
  <c r="AT31" i="1"/>
  <c r="AU31" i="1"/>
  <c r="AW31" i="1"/>
  <c r="AZ31" i="1"/>
  <c r="BB31" i="1"/>
  <c r="BC31" i="1"/>
  <c r="BE31" i="1"/>
  <c r="BF31" i="1"/>
  <c r="CS31" i="1"/>
  <c r="CT31" i="1"/>
  <c r="CU31" i="1"/>
  <c r="CV31" i="1"/>
  <c r="CW31" i="1"/>
  <c r="CX31" i="1"/>
  <c r="CY31" i="1"/>
  <c r="DV31" i="1"/>
  <c r="DW31" i="1"/>
  <c r="DY31" i="1"/>
  <c r="DZ31" i="1"/>
  <c r="FE31" i="1"/>
  <c r="FF31" i="1"/>
  <c r="FG31" i="1"/>
  <c r="FH31" i="1"/>
  <c r="FI31" i="1"/>
  <c r="FJ31" i="1"/>
  <c r="FK31" i="1"/>
  <c r="FL31" i="1"/>
  <c r="FM31" i="1"/>
  <c r="FN31" i="1"/>
  <c r="FO31" i="1"/>
  <c r="FP31" i="1"/>
  <c r="FQ31" i="1"/>
  <c r="FS31" i="1"/>
  <c r="FT31" i="1"/>
  <c r="FV31" i="1"/>
  <c r="FW31" i="1"/>
  <c r="FX31" i="1"/>
  <c r="FY31" i="1"/>
  <c r="FZ31" i="1"/>
  <c r="GA31" i="1"/>
  <c r="GB31" i="1"/>
  <c r="V32" i="1"/>
  <c r="X32" i="1"/>
  <c r="Y32" i="1"/>
  <c r="Z32" i="1"/>
  <c r="AA32" i="1"/>
  <c r="AB32" i="1"/>
  <c r="AD32" i="1"/>
  <c r="AE32" i="1"/>
  <c r="AF32" i="1"/>
  <c r="AG32" i="1"/>
  <c r="AH32" i="1"/>
  <c r="AJ32" i="1"/>
  <c r="AL32" i="1"/>
  <c r="AN32" i="1"/>
  <c r="AO32" i="1"/>
  <c r="AP32" i="1"/>
  <c r="AQ32" i="1"/>
  <c r="AS32" i="1"/>
  <c r="AT32" i="1"/>
  <c r="AU32" i="1"/>
  <c r="AW32" i="1"/>
  <c r="AZ32" i="1"/>
  <c r="BB32" i="1"/>
  <c r="BC32" i="1"/>
  <c r="BE32" i="1"/>
  <c r="BF32" i="1"/>
  <c r="CS32" i="1"/>
  <c r="CT32" i="1"/>
  <c r="CU32" i="1"/>
  <c r="CV32" i="1"/>
  <c r="CW32" i="1"/>
  <c r="CX32" i="1"/>
  <c r="CY32" i="1"/>
  <c r="DV32" i="1"/>
  <c r="DW32" i="1"/>
  <c r="DY32" i="1"/>
  <c r="DZ32" i="1"/>
  <c r="FE32" i="1"/>
  <c r="FF32" i="1"/>
  <c r="FG32" i="1"/>
  <c r="FH32" i="1"/>
  <c r="FI32" i="1"/>
  <c r="FJ32" i="1"/>
  <c r="FK32" i="1"/>
  <c r="FL32" i="1"/>
  <c r="FM32" i="1"/>
  <c r="FN32" i="1"/>
  <c r="FO32" i="1"/>
  <c r="FP32" i="1"/>
  <c r="FQ32" i="1"/>
  <c r="FS32" i="1"/>
  <c r="FT32" i="1"/>
  <c r="FV32" i="1"/>
  <c r="FW32" i="1"/>
  <c r="FX32" i="1"/>
  <c r="FY32" i="1"/>
  <c r="FZ32" i="1"/>
  <c r="GA32" i="1"/>
  <c r="GB32" i="1"/>
  <c r="V33" i="1"/>
  <c r="X33" i="1"/>
  <c r="Y33" i="1"/>
  <c r="Z33" i="1"/>
  <c r="AA33" i="1"/>
  <c r="AB33" i="1"/>
  <c r="AD33" i="1"/>
  <c r="AE33" i="1"/>
  <c r="AF33" i="1"/>
  <c r="AG33" i="1"/>
  <c r="AH33" i="1"/>
  <c r="AJ33" i="1"/>
  <c r="AL33" i="1"/>
  <c r="AN33" i="1"/>
  <c r="AO33" i="1"/>
  <c r="AP33" i="1"/>
  <c r="AQ33" i="1"/>
  <c r="AS33" i="1"/>
  <c r="AT33" i="1"/>
  <c r="AU33" i="1"/>
  <c r="AW33" i="1"/>
  <c r="AZ33" i="1"/>
  <c r="BB33" i="1"/>
  <c r="BC33" i="1"/>
  <c r="BE33" i="1"/>
  <c r="BF33" i="1"/>
  <c r="CS33" i="1"/>
  <c r="CT33" i="1"/>
  <c r="CU33" i="1"/>
  <c r="CV33" i="1"/>
  <c r="CW33" i="1"/>
  <c r="CX33" i="1"/>
  <c r="CY33" i="1"/>
  <c r="DV33" i="1"/>
  <c r="DW33" i="1"/>
  <c r="DY33" i="1"/>
  <c r="DZ33" i="1"/>
  <c r="FE33" i="1"/>
  <c r="FF33" i="1"/>
  <c r="FG33" i="1"/>
  <c r="FH33" i="1"/>
  <c r="FI33" i="1"/>
  <c r="FJ33" i="1"/>
  <c r="FK33" i="1"/>
  <c r="FL33" i="1"/>
  <c r="FM33" i="1"/>
  <c r="FN33" i="1"/>
  <c r="FO33" i="1"/>
  <c r="FP33" i="1"/>
  <c r="FQ33" i="1"/>
  <c r="FS33" i="1"/>
  <c r="FT33" i="1"/>
  <c r="FV33" i="1"/>
  <c r="FW33" i="1"/>
  <c r="FX33" i="1"/>
  <c r="FY33" i="1"/>
  <c r="FZ33" i="1"/>
  <c r="GA33" i="1"/>
  <c r="GB33" i="1"/>
  <c r="V34" i="1"/>
  <c r="X34" i="1"/>
  <c r="Y34" i="1"/>
  <c r="Z34" i="1"/>
  <c r="AA34" i="1"/>
  <c r="AB34" i="1"/>
  <c r="AD34" i="1"/>
  <c r="AE34" i="1"/>
  <c r="AF34" i="1"/>
  <c r="AG34" i="1"/>
  <c r="AH34" i="1"/>
  <c r="AJ34" i="1"/>
  <c r="AL34" i="1"/>
  <c r="AN34" i="1"/>
  <c r="AO34" i="1"/>
  <c r="AP34" i="1"/>
  <c r="AQ34" i="1"/>
  <c r="AS34" i="1"/>
  <c r="AT34" i="1"/>
  <c r="AU34" i="1"/>
  <c r="AW34" i="1"/>
  <c r="AZ34" i="1"/>
  <c r="BB34" i="1"/>
  <c r="BC34" i="1"/>
  <c r="BE34" i="1"/>
  <c r="BF34" i="1"/>
  <c r="CS34" i="1"/>
  <c r="CT34" i="1"/>
  <c r="CU34" i="1"/>
  <c r="CV34" i="1"/>
  <c r="CW34" i="1"/>
  <c r="CX34" i="1"/>
  <c r="CY34" i="1"/>
  <c r="DV34" i="1"/>
  <c r="DW34" i="1"/>
  <c r="DY34" i="1"/>
  <c r="DZ34" i="1"/>
  <c r="FE34" i="1"/>
  <c r="FF34" i="1"/>
  <c r="FG34" i="1"/>
  <c r="FH34" i="1"/>
  <c r="FI34" i="1"/>
  <c r="FJ34" i="1"/>
  <c r="FK34" i="1"/>
  <c r="FL34" i="1"/>
  <c r="FM34" i="1"/>
  <c r="FN34" i="1"/>
  <c r="FO34" i="1"/>
  <c r="FP34" i="1"/>
  <c r="FQ34" i="1"/>
  <c r="FS34" i="1"/>
  <c r="FT34" i="1"/>
  <c r="FV34" i="1"/>
  <c r="FW34" i="1"/>
  <c r="FX34" i="1"/>
  <c r="FY34" i="1"/>
  <c r="FZ34" i="1"/>
  <c r="GA34" i="1"/>
  <c r="GB34" i="1"/>
  <c r="V35" i="1"/>
  <c r="X35" i="1"/>
  <c r="Y35" i="1"/>
  <c r="Z35" i="1"/>
  <c r="AA35" i="1"/>
  <c r="AB35" i="1"/>
  <c r="AD35" i="1"/>
  <c r="AE35" i="1"/>
  <c r="AF35" i="1"/>
  <c r="AG35" i="1"/>
  <c r="AH35" i="1"/>
  <c r="AJ35" i="1"/>
  <c r="AL35" i="1"/>
  <c r="AN35" i="1"/>
  <c r="AO35" i="1"/>
  <c r="AP35" i="1"/>
  <c r="AQ35" i="1"/>
  <c r="AS35" i="1"/>
  <c r="AT35" i="1"/>
  <c r="AU35" i="1"/>
  <c r="AW35" i="1"/>
  <c r="AZ35" i="1"/>
  <c r="BB35" i="1"/>
  <c r="BC35" i="1"/>
  <c r="BE35" i="1"/>
  <c r="BF35" i="1"/>
  <c r="CS35" i="1"/>
  <c r="CT35" i="1"/>
  <c r="CU35" i="1"/>
  <c r="CV35" i="1"/>
  <c r="CW35" i="1"/>
  <c r="CX35" i="1"/>
  <c r="CY35" i="1"/>
  <c r="DV35" i="1"/>
  <c r="DW35" i="1"/>
  <c r="DY35" i="1"/>
  <c r="DZ35" i="1"/>
  <c r="FE35" i="1"/>
  <c r="FF35" i="1"/>
  <c r="FG35" i="1"/>
  <c r="FH35" i="1"/>
  <c r="FI35" i="1"/>
  <c r="FJ35" i="1"/>
  <c r="FK35" i="1"/>
  <c r="FL35" i="1"/>
  <c r="FM35" i="1"/>
  <c r="FN35" i="1"/>
  <c r="FO35" i="1"/>
  <c r="FP35" i="1"/>
  <c r="FQ35" i="1"/>
  <c r="FS35" i="1"/>
  <c r="FT35" i="1"/>
  <c r="FV35" i="1"/>
  <c r="FW35" i="1"/>
  <c r="FX35" i="1"/>
  <c r="FY35" i="1"/>
  <c r="FZ35" i="1"/>
  <c r="GA35" i="1"/>
  <c r="GB35" i="1"/>
  <c r="V36" i="1"/>
  <c r="X36" i="1"/>
  <c r="Y36" i="1"/>
  <c r="Z36" i="1"/>
  <c r="AA36" i="1"/>
  <c r="AB36" i="1"/>
  <c r="AD36" i="1"/>
  <c r="AE36" i="1"/>
  <c r="AF36" i="1"/>
  <c r="AG36" i="1"/>
  <c r="AH36" i="1"/>
  <c r="AJ36" i="1"/>
  <c r="AL36" i="1"/>
  <c r="AN36" i="1"/>
  <c r="AO36" i="1"/>
  <c r="AP36" i="1"/>
  <c r="AQ36" i="1"/>
  <c r="AS36" i="1"/>
  <c r="AT36" i="1"/>
  <c r="AU36" i="1"/>
  <c r="AW36" i="1"/>
  <c r="AZ36" i="1"/>
  <c r="BB36" i="1"/>
  <c r="BC36" i="1"/>
  <c r="BE36" i="1"/>
  <c r="BF36" i="1"/>
  <c r="CS36" i="1"/>
  <c r="CT36" i="1"/>
  <c r="CU36" i="1"/>
  <c r="CV36" i="1"/>
  <c r="CW36" i="1"/>
  <c r="CX36" i="1"/>
  <c r="CY36" i="1"/>
  <c r="DV36" i="1"/>
  <c r="DW36" i="1"/>
  <c r="DY36" i="1"/>
  <c r="DZ36" i="1"/>
  <c r="FE36" i="1"/>
  <c r="FF36" i="1"/>
  <c r="FG36" i="1"/>
  <c r="FH36" i="1"/>
  <c r="FI36" i="1"/>
  <c r="FJ36" i="1"/>
  <c r="FK36" i="1"/>
  <c r="FL36" i="1"/>
  <c r="FM36" i="1"/>
  <c r="FN36" i="1"/>
  <c r="FO36" i="1"/>
  <c r="FP36" i="1"/>
  <c r="FQ36" i="1"/>
  <c r="FS36" i="1"/>
  <c r="FT36" i="1"/>
  <c r="FV36" i="1"/>
  <c r="FW36" i="1"/>
  <c r="FX36" i="1"/>
  <c r="FY36" i="1"/>
  <c r="FZ36" i="1"/>
  <c r="GA36" i="1"/>
  <c r="GB36" i="1"/>
  <c r="V37" i="1"/>
  <c r="X37" i="1"/>
  <c r="Y37" i="1"/>
  <c r="Z37" i="1"/>
  <c r="AA37" i="1"/>
  <c r="AB37" i="1"/>
  <c r="AD37" i="1"/>
  <c r="AE37" i="1"/>
  <c r="AF37" i="1"/>
  <c r="AG37" i="1"/>
  <c r="AH37" i="1"/>
  <c r="AJ37" i="1"/>
  <c r="AL37" i="1"/>
  <c r="AN37" i="1"/>
  <c r="AO37" i="1"/>
  <c r="AP37" i="1"/>
  <c r="AQ37" i="1"/>
  <c r="AS37" i="1"/>
  <c r="AT37" i="1"/>
  <c r="AU37" i="1"/>
  <c r="AW37" i="1"/>
  <c r="AZ37" i="1"/>
  <c r="BB37" i="1"/>
  <c r="BC37" i="1"/>
  <c r="BE37" i="1"/>
  <c r="BF37" i="1"/>
  <c r="CS37" i="1"/>
  <c r="CT37" i="1"/>
  <c r="CU37" i="1"/>
  <c r="CV37" i="1"/>
  <c r="CW37" i="1"/>
  <c r="CX37" i="1"/>
  <c r="CY37" i="1"/>
  <c r="DV37" i="1"/>
  <c r="DW37" i="1"/>
  <c r="DY37" i="1"/>
  <c r="DZ37" i="1"/>
  <c r="FE37" i="1"/>
  <c r="FF37" i="1"/>
  <c r="FG37" i="1"/>
  <c r="FH37" i="1"/>
  <c r="FI37" i="1"/>
  <c r="FJ37" i="1"/>
  <c r="FK37" i="1"/>
  <c r="FL37" i="1"/>
  <c r="FM37" i="1"/>
  <c r="FN37" i="1"/>
  <c r="FO37" i="1"/>
  <c r="FP37" i="1"/>
  <c r="FQ37" i="1"/>
  <c r="FS37" i="1"/>
  <c r="FT37" i="1"/>
  <c r="FV37" i="1"/>
  <c r="FW37" i="1"/>
  <c r="FX37" i="1"/>
  <c r="FY37" i="1"/>
  <c r="FZ37" i="1"/>
  <c r="GA37" i="1"/>
  <c r="GB37" i="1"/>
  <c r="V38" i="1"/>
  <c r="X38" i="1"/>
  <c r="Y38" i="1"/>
  <c r="Z38" i="1"/>
  <c r="AA38" i="1"/>
  <c r="AB38" i="1"/>
  <c r="AD38" i="1"/>
  <c r="AE38" i="1"/>
  <c r="AF38" i="1"/>
  <c r="AG38" i="1"/>
  <c r="AH38" i="1"/>
  <c r="AJ38" i="1"/>
  <c r="AL38" i="1"/>
  <c r="AN38" i="1"/>
  <c r="AO38" i="1"/>
  <c r="AP38" i="1"/>
  <c r="AQ38" i="1"/>
  <c r="AS38" i="1"/>
  <c r="AT38" i="1"/>
  <c r="AU38" i="1"/>
  <c r="AW38" i="1"/>
  <c r="AZ38" i="1"/>
  <c r="BB38" i="1"/>
  <c r="BC38" i="1"/>
  <c r="BE38" i="1"/>
  <c r="BF38" i="1"/>
  <c r="CS38" i="1"/>
  <c r="CT38" i="1"/>
  <c r="CU38" i="1"/>
  <c r="CV38" i="1"/>
  <c r="CW38" i="1"/>
  <c r="CX38" i="1"/>
  <c r="CY38" i="1"/>
  <c r="DV38" i="1"/>
  <c r="DW38" i="1"/>
  <c r="DY38" i="1"/>
  <c r="DZ38" i="1"/>
  <c r="FE38" i="1"/>
  <c r="FF38" i="1"/>
  <c r="FG38" i="1"/>
  <c r="FH38" i="1"/>
  <c r="FI38" i="1"/>
  <c r="FJ38" i="1"/>
  <c r="FK38" i="1"/>
  <c r="FL38" i="1"/>
  <c r="FM38" i="1"/>
  <c r="FN38" i="1"/>
  <c r="FO38" i="1"/>
  <c r="FP38" i="1"/>
  <c r="FQ38" i="1"/>
  <c r="FS38" i="1"/>
  <c r="FT38" i="1"/>
  <c r="FV38" i="1"/>
  <c r="FW38" i="1"/>
  <c r="FX38" i="1"/>
  <c r="FY38" i="1"/>
  <c r="FZ38" i="1"/>
  <c r="GA38" i="1"/>
  <c r="GB38" i="1"/>
  <c r="V39" i="1"/>
  <c r="X39" i="1"/>
  <c r="Y39" i="1"/>
  <c r="Z39" i="1"/>
  <c r="AA39" i="1"/>
  <c r="AB39" i="1"/>
  <c r="AD39" i="1"/>
  <c r="AE39" i="1"/>
  <c r="AF39" i="1"/>
  <c r="AG39" i="1"/>
  <c r="AH39" i="1"/>
  <c r="AJ39" i="1"/>
  <c r="AL39" i="1"/>
  <c r="AN39" i="1"/>
  <c r="AO39" i="1"/>
  <c r="AP39" i="1"/>
  <c r="AQ39" i="1"/>
  <c r="AS39" i="1"/>
  <c r="AT39" i="1"/>
  <c r="AU39" i="1"/>
  <c r="AW39" i="1"/>
  <c r="AZ39" i="1"/>
  <c r="BB39" i="1"/>
  <c r="BC39" i="1"/>
  <c r="BE39" i="1"/>
  <c r="BF39" i="1"/>
  <c r="CS39" i="1"/>
  <c r="CT39" i="1"/>
  <c r="CU39" i="1"/>
  <c r="CV39" i="1"/>
  <c r="CW39" i="1"/>
  <c r="CX39" i="1"/>
  <c r="CY39" i="1"/>
  <c r="DV39" i="1"/>
  <c r="DW39" i="1"/>
  <c r="DY39" i="1"/>
  <c r="DZ39" i="1"/>
  <c r="FE39" i="1"/>
  <c r="FF39" i="1"/>
  <c r="FG39" i="1"/>
  <c r="FH39" i="1"/>
  <c r="FI39" i="1"/>
  <c r="FJ39" i="1"/>
  <c r="FK39" i="1"/>
  <c r="FL39" i="1"/>
  <c r="FM39" i="1"/>
  <c r="FN39" i="1"/>
  <c r="FO39" i="1"/>
  <c r="FP39" i="1"/>
  <c r="FQ39" i="1"/>
  <c r="FS39" i="1"/>
  <c r="FT39" i="1"/>
  <c r="FV39" i="1"/>
  <c r="FW39" i="1"/>
  <c r="FX39" i="1"/>
  <c r="FY39" i="1"/>
  <c r="FZ39" i="1"/>
  <c r="GA39" i="1"/>
  <c r="GB39" i="1"/>
  <c r="V40" i="1"/>
  <c r="X40" i="1"/>
  <c r="Y40" i="1"/>
  <c r="Z40" i="1"/>
  <c r="AA40" i="1"/>
  <c r="AB40" i="1"/>
  <c r="AD40" i="1"/>
  <c r="AE40" i="1"/>
  <c r="AF40" i="1"/>
  <c r="AG40" i="1"/>
  <c r="AH40" i="1"/>
  <c r="AJ40" i="1"/>
  <c r="AL40" i="1"/>
  <c r="AN40" i="1"/>
  <c r="AO40" i="1"/>
  <c r="AP40" i="1"/>
  <c r="AQ40" i="1"/>
  <c r="AS40" i="1"/>
  <c r="AT40" i="1"/>
  <c r="AU40" i="1"/>
  <c r="AW40" i="1"/>
  <c r="AZ40" i="1"/>
  <c r="BB40" i="1"/>
  <c r="BC40" i="1"/>
  <c r="BE40" i="1"/>
  <c r="BF40" i="1"/>
  <c r="CS40" i="1"/>
  <c r="CT40" i="1"/>
  <c r="CU40" i="1"/>
  <c r="CV40" i="1"/>
  <c r="CW40" i="1"/>
  <c r="CX40" i="1"/>
  <c r="CY40" i="1"/>
  <c r="DV40" i="1"/>
  <c r="DW40" i="1"/>
  <c r="DY40" i="1"/>
  <c r="DZ40" i="1"/>
  <c r="FE40" i="1"/>
  <c r="FF40" i="1"/>
  <c r="FG40" i="1"/>
  <c r="FH40" i="1"/>
  <c r="FI40" i="1"/>
  <c r="FJ40" i="1"/>
  <c r="FK40" i="1"/>
  <c r="FL40" i="1"/>
  <c r="FM40" i="1"/>
  <c r="FN40" i="1"/>
  <c r="FO40" i="1"/>
  <c r="FP40" i="1"/>
  <c r="FQ40" i="1"/>
  <c r="FS40" i="1"/>
  <c r="FT40" i="1"/>
  <c r="FV40" i="1"/>
  <c r="FW40" i="1"/>
  <c r="FX40" i="1"/>
  <c r="FY40" i="1"/>
  <c r="FZ40" i="1"/>
  <c r="GA40" i="1"/>
  <c r="GB40" i="1"/>
</calcChain>
</file>

<file path=xl/comments1.xml><?xml version="1.0" encoding="utf-8"?>
<comments xmlns="http://schemas.openxmlformats.org/spreadsheetml/2006/main">
  <authors>
    <author>Keith Putirka</author>
  </authors>
  <commentList>
    <comment ref="Z5" authorId="0" shapeId="0">
      <text>
        <r>
          <rPr>
            <b/>
            <sz val="9"/>
            <color rgb="FF000000"/>
            <rFont val="Arial"/>
            <family val="2"/>
          </rPr>
          <t>Keith Putirka:</t>
        </r>
        <r>
          <rPr>
            <sz val="9"/>
            <color rgb="FF000000"/>
            <rFont val="Arial"/>
            <family val="2"/>
          </rPr>
          <t xml:space="preserve">
</t>
        </r>
        <r>
          <rPr>
            <sz val="9"/>
            <color rgb="FF000000"/>
            <rFont val="Arial"/>
            <family val="2"/>
          </rPr>
          <t>Tp is here calculated using thermodynamic properties expected to represent the uppermost mantle</t>
        </r>
      </text>
    </comment>
    <comment ref="AA5" authorId="0" shapeId="0">
      <text>
        <r>
          <rPr>
            <b/>
            <sz val="9"/>
            <color rgb="FF000000"/>
            <rFont val="Arial"/>
            <family val="2"/>
          </rPr>
          <t>Keith Putirka:</t>
        </r>
        <r>
          <rPr>
            <sz val="9"/>
            <color rgb="FF000000"/>
            <rFont val="Arial"/>
            <family val="2"/>
          </rPr>
          <t xml:space="preserve">
</t>
        </r>
        <r>
          <rPr>
            <sz val="9"/>
            <color rgb="FF000000"/>
            <rFont val="Arial"/>
            <family val="2"/>
          </rPr>
          <t>Tp is calculated using a heat of fusion and heat capacity at the depth of magma generation, to calculate adiabat and energy of fusion</t>
        </r>
      </text>
    </comment>
    <comment ref="AB7" authorId="0" shapeId="0">
      <text>
        <r>
          <rPr>
            <sz val="12"/>
            <color rgb="FF000000"/>
            <rFont val="Arial"/>
            <family val="2"/>
          </rPr>
          <t>Keith Putirka:</t>
        </r>
        <r>
          <rPr>
            <sz val="12"/>
            <color rgb="FF000000"/>
            <rFont val="Arial"/>
            <family val="2"/>
          </rPr>
          <t xml:space="preserve">
</t>
        </r>
        <r>
          <rPr>
            <sz val="10"/>
            <color rgb="FF000000"/>
            <rFont val="Arial"/>
            <family val="2"/>
          </rPr>
          <t>Error based on uncertainty of melt fraction (F) and T of ol+liq equilibrium</t>
        </r>
      </text>
    </comment>
  </commentList>
</comments>
</file>

<file path=xl/comments2.xml><?xml version="1.0" encoding="utf-8"?>
<comments xmlns="http://schemas.openxmlformats.org/spreadsheetml/2006/main">
  <authors>
    <author>Keith Putirka</author>
  </authors>
  <commentList>
    <comment ref="Z5" authorId="0" shapeId="0">
      <text>
        <r>
          <rPr>
            <b/>
            <sz val="9"/>
            <color indexed="81"/>
            <rFont val="Arial"/>
            <family val="2"/>
          </rPr>
          <t>Keith Putirka:</t>
        </r>
        <r>
          <rPr>
            <sz val="9"/>
            <color indexed="81"/>
            <rFont val="Arial"/>
            <family val="2"/>
          </rPr>
          <t xml:space="preserve">
Tp is here calculated using thermodynamic properties expected to represent the uppermost mantle</t>
        </r>
      </text>
    </comment>
    <comment ref="AA5" authorId="0" shapeId="0">
      <text>
        <r>
          <rPr>
            <b/>
            <sz val="9"/>
            <color indexed="81"/>
            <rFont val="Arial"/>
            <family val="2"/>
          </rPr>
          <t>Keith Putirka:</t>
        </r>
        <r>
          <rPr>
            <sz val="9"/>
            <color indexed="81"/>
            <rFont val="Arial"/>
            <family val="2"/>
          </rPr>
          <t xml:space="preserve">
Tp is calculated using a heat of fusion and heat capacity at the depth of magma generation, to calculate adiabat and energy of fusion</t>
        </r>
      </text>
    </comment>
    <comment ref="AB7" authorId="0" shapeId="0">
      <text>
        <r>
          <rPr>
            <b/>
            <sz val="12"/>
            <color indexed="81"/>
            <rFont val="Arial"/>
            <family val="2"/>
          </rPr>
          <t>Keith Putirka:</t>
        </r>
        <r>
          <rPr>
            <sz val="12"/>
            <color indexed="81"/>
            <rFont val="Arial"/>
            <family val="2"/>
          </rPr>
          <t xml:space="preserve">
</t>
        </r>
        <r>
          <rPr>
            <sz val="10"/>
            <color indexed="81"/>
            <rFont val="Arial"/>
            <family val="2"/>
          </rPr>
          <t>Error based on uncertainty on estimates of melt fraction (F) and the T of ol+liq equilibrium</t>
        </r>
      </text>
    </comment>
  </commentList>
</comments>
</file>

<file path=xl/sharedStrings.xml><?xml version="1.0" encoding="utf-8"?>
<sst xmlns="http://schemas.openxmlformats.org/spreadsheetml/2006/main" count="836" uniqueCount="332">
  <si>
    <t>Enter</t>
  </si>
  <si>
    <t xml:space="preserve">X = </t>
  </si>
  <si>
    <t xml:space="preserve">Y = </t>
  </si>
  <si>
    <t>Calcualte Olivine Compositions Based on Observed FeO/MgO ratios in Liquids (Fe2O3 measured) and predicted KD (accounting for Fe2O3 in liq).</t>
  </si>
  <si>
    <t>Predicted</t>
  </si>
  <si>
    <t>Measured</t>
  </si>
  <si>
    <t>Predcited</t>
  </si>
  <si>
    <t>Calc MAX</t>
  </si>
  <si>
    <t>Calc MIN</t>
  </si>
  <si>
    <t>Beattie (1993)</t>
  </si>
  <si>
    <t>Putirka et al. 2007</t>
  </si>
  <si>
    <t>Beattie (1993) liquid components</t>
  </si>
  <si>
    <t>NNO + Y</t>
  </si>
  <si>
    <t>Fe = FeOt</t>
  </si>
  <si>
    <t>Mantle Pot T</t>
  </si>
  <si>
    <t>Anhydrous</t>
  </si>
  <si>
    <t>Olivine Compositions - in Weight Percent</t>
  </si>
  <si>
    <t>Liquid</t>
  </si>
  <si>
    <t>Olivine</t>
  </si>
  <si>
    <t>calculated</t>
  </si>
  <si>
    <t>w/ Herz corr</t>
  </si>
  <si>
    <t>Their Eqn. 4</t>
  </si>
  <si>
    <t>LIQUID cation proportions</t>
  </si>
  <si>
    <t>LIQUID cation fractions</t>
  </si>
  <si>
    <t>OLIVINE cation proportions</t>
  </si>
  <si>
    <t>OLIVINE cation fractions</t>
  </si>
  <si>
    <t>Beattie</t>
    <phoneticPr fontId="0" type="noConversion"/>
  </si>
  <si>
    <t>Meas</t>
    <phoneticPr fontId="0" type="noConversion"/>
  </si>
  <si>
    <t>LIQUID mole proportions</t>
  </si>
  <si>
    <t>LIQUID mole fractions</t>
  </si>
  <si>
    <t>Calculate NBO/T</t>
  </si>
  <si>
    <t>Fe2O3/FeO mf v MgO</t>
  </si>
  <si>
    <t>Cf</t>
  </si>
  <si>
    <t>wt prop</t>
  </si>
  <si>
    <t>wt %</t>
  </si>
  <si>
    <t>Data Source</t>
  </si>
  <si>
    <t>P (GPa)</t>
  </si>
  <si>
    <t>T (C)</t>
  </si>
  <si>
    <t>log[fO2]</t>
  </si>
  <si>
    <t>KD</t>
  </si>
  <si>
    <t>Tp (C )</t>
  </si>
  <si>
    <t>SiO2</t>
  </si>
  <si>
    <t>TiO2</t>
  </si>
  <si>
    <t>Al2O3</t>
  </si>
  <si>
    <t>FeOt</t>
  </si>
  <si>
    <t>MnO</t>
  </si>
  <si>
    <t>MgO</t>
  </si>
  <si>
    <t>CaO</t>
  </si>
  <si>
    <t>Na2O</t>
  </si>
  <si>
    <t>K2O</t>
  </si>
  <si>
    <t>Cr2O3</t>
  </si>
  <si>
    <t>P2O5</t>
  </si>
  <si>
    <t>H2O</t>
  </si>
  <si>
    <t>FeO</t>
  </si>
  <si>
    <t>Total</t>
  </si>
  <si>
    <t>T(C )</t>
  </si>
  <si>
    <t>100*Mg#</t>
  </si>
  <si>
    <t>Fo</t>
  </si>
  <si>
    <t>D(Mg)</t>
  </si>
  <si>
    <t xml:space="preserve">D(Mg) </t>
  </si>
  <si>
    <t>Eqn 22 in RiMG T(C )</t>
  </si>
  <si>
    <t>XSiO2</t>
  </si>
  <si>
    <t>XTiO2</t>
  </si>
  <si>
    <t>XAlO3/2</t>
  </si>
  <si>
    <t>XFeO</t>
  </si>
  <si>
    <t>XMnO</t>
  </si>
  <si>
    <t>XMgO</t>
  </si>
  <si>
    <t>XCaO</t>
  </si>
  <si>
    <t>XNaO0.5</t>
  </si>
  <si>
    <t>XKO0.5</t>
  </si>
  <si>
    <t>total</t>
  </si>
  <si>
    <t>CrO3/2</t>
  </si>
  <si>
    <t>P2O5/2</t>
  </si>
  <si>
    <t>CNML</t>
  </si>
  <si>
    <t>CSiO2L</t>
  </si>
  <si>
    <t>NF</t>
  </si>
  <si>
    <t>Numerator</t>
  </si>
  <si>
    <t>denom</t>
  </si>
  <si>
    <t>T(K)</t>
  </si>
  <si>
    <t>P(Gpa)</t>
  </si>
  <si>
    <t>NF</t>
    <phoneticPr fontId="0" type="noConversion"/>
  </si>
  <si>
    <t>ClNM</t>
    <phoneticPr fontId="0" type="noConversion"/>
  </si>
  <si>
    <t>CSiO2</t>
    <phoneticPr fontId="0" type="noConversion"/>
  </si>
  <si>
    <t>D(Mg)</t>
    <phoneticPr fontId="0" type="noConversion"/>
  </si>
  <si>
    <t>Beatttie</t>
    <phoneticPr fontId="0" type="noConversion"/>
  </si>
  <si>
    <t>Beattie 1 atm</t>
    <phoneticPr fontId="0" type="noConversion"/>
  </si>
  <si>
    <t>H&amp;O corr</t>
    <phoneticPr fontId="0" type="noConversion"/>
  </si>
  <si>
    <t>Eqn 21</t>
    <phoneticPr fontId="0" type="noConversion"/>
  </si>
  <si>
    <t>Kd(Mg)</t>
    <phoneticPr fontId="0" type="noConversion"/>
  </si>
  <si>
    <t>XAl2O3</t>
  </si>
  <si>
    <t>XNa2O</t>
  </si>
  <si>
    <t>XK2O</t>
  </si>
  <si>
    <t>XCr2O3</t>
  </si>
  <si>
    <t>XP2O5</t>
  </si>
  <si>
    <t>Al(IV)</t>
  </si>
  <si>
    <t>T</t>
  </si>
  <si>
    <t>O(T)</t>
  </si>
  <si>
    <t>NBO</t>
  </si>
  <si>
    <t>NBO/T</t>
  </si>
  <si>
    <t>X(Fe2O3)</t>
  </si>
  <si>
    <t>X(FeO)</t>
  </si>
  <si>
    <t>(FeO/MgO)liq</t>
  </si>
  <si>
    <t>(FeO/MgO)ol</t>
  </si>
  <si>
    <t>(XFeO/XMgO)ol</t>
  </si>
  <si>
    <t>P(Pa)</t>
  </si>
  <si>
    <r>
      <t>K</t>
    </r>
    <r>
      <rPr>
        <b/>
        <vertAlign val="subscript"/>
        <sz val="11"/>
        <rFont val="Verdana"/>
        <family val="2"/>
      </rPr>
      <t>D</t>
    </r>
    <r>
      <rPr>
        <b/>
        <sz val="11"/>
        <rFont val="Verdana"/>
        <family val="2"/>
      </rPr>
      <t>(Fe-Mg)</t>
    </r>
  </si>
  <si>
    <t>QFM ± X</t>
  </si>
  <si>
    <t>Use Fe2O3 liq</t>
  </si>
  <si>
    <t>Melt Fraction Estimates</t>
  </si>
  <si>
    <t>Eq A1</t>
  </si>
  <si>
    <t>Putirka (2015)</t>
  </si>
  <si>
    <t>Eq A2</t>
  </si>
  <si>
    <t>Depl &amp; Fertile</t>
  </si>
  <si>
    <t>Depl only</t>
  </si>
  <si>
    <t>Fertile only</t>
  </si>
  <si>
    <t>Solidus-liquidus</t>
  </si>
  <si>
    <t>AVG F</t>
  </si>
  <si>
    <t xml:space="preserve">std </t>
  </si>
  <si>
    <t>dev F</t>
  </si>
  <si>
    <t>a(SiO2)</t>
  </si>
  <si>
    <t>P(GPa)</t>
  </si>
  <si>
    <t xml:space="preserve">Beattie </t>
  </si>
  <si>
    <t>Putirka et al.  (2007)</t>
  </si>
  <si>
    <t xml:space="preserve">Operative </t>
  </si>
  <si>
    <t xml:space="preserve">P Calculated </t>
  </si>
  <si>
    <t>by iteration</t>
  </si>
  <si>
    <t>Tp Error</t>
  </si>
  <si>
    <t>Si activity and pressure</t>
  </si>
  <si>
    <t>Use Putirka (2015)</t>
  </si>
  <si>
    <t>Choose Log units above or below buffer</t>
  </si>
  <si>
    <r>
      <t>T</t>
    </r>
    <r>
      <rPr>
        <b/>
        <vertAlign val="superscript"/>
        <sz val="12"/>
        <color indexed="8"/>
        <rFont val="Verdana"/>
        <family val="2"/>
      </rPr>
      <t>ol-liq</t>
    </r>
  </si>
  <si>
    <t>From Fegley (2012)</t>
  </si>
  <si>
    <t>Liquid Composition - in Weight Percent</t>
  </si>
  <si>
    <t>Pressure</t>
  </si>
  <si>
    <t>Here</t>
  </si>
  <si>
    <t>Enter Liquid Composition Here</t>
  </si>
  <si>
    <t xml:space="preserve">Let Column D = </t>
  </si>
  <si>
    <t>Col. E or F</t>
  </si>
  <si>
    <t>Calculated Olivine Composition</t>
  </si>
  <si>
    <t>Based on predicted KD (from column AD as default)</t>
  </si>
  <si>
    <t>Operative KD</t>
  </si>
  <si>
    <t>Eqn 14b</t>
  </si>
  <si>
    <t>Eqn 14c</t>
  </si>
  <si>
    <t>Eqn 14a</t>
  </si>
  <si>
    <t>Avg. MORB (Putirka et al. (2007)</t>
  </si>
  <si>
    <t>MNORB-H</t>
  </si>
  <si>
    <t>Mod Avg. MORB (Putirka et al. (2007)</t>
  </si>
  <si>
    <t>Mean Cottlrell and Kelley (2011_</t>
  </si>
  <si>
    <t>Mod Mean Cottlrell and Kelley (2011_</t>
  </si>
  <si>
    <r>
      <t>K</t>
    </r>
    <r>
      <rPr>
        <b/>
        <vertAlign val="subscript"/>
        <sz val="11"/>
        <color rgb="FFFF0000"/>
        <rFont val="Verdana"/>
        <family val="2"/>
      </rPr>
      <t>D</t>
    </r>
  </si>
  <si>
    <t xml:space="preserve">PUCHTEL I. S. (2009)  [13313] </t>
  </si>
  <si>
    <t xml:space="preserve">GRUAU G. (1987) [6788] </t>
  </si>
  <si>
    <t>Green et al. 1975</t>
  </si>
  <si>
    <t>Mauna Loa, SR0061-0.00</t>
  </si>
  <si>
    <t>Age (Ma)</t>
  </si>
  <si>
    <t>East Greenland (H&amp;G 2009)</t>
  </si>
  <si>
    <t>West Greenland (H&amp;G 2009)</t>
  </si>
  <si>
    <t>Deccan (H&amp;G 2009)</t>
  </si>
  <si>
    <t>Siberian (H&amp;G 2009)</t>
  </si>
  <si>
    <t>Ontong Java (H&amp;G 2009)</t>
  </si>
  <si>
    <t>Central Atlantic (H&amp;G 2009)</t>
  </si>
  <si>
    <t>Baffin (Hole 2015)</t>
  </si>
  <si>
    <t>CAMP USA (Hole 2015)</t>
  </si>
  <si>
    <t>CAMP Iberia (Hole 2015)</t>
  </si>
  <si>
    <t>Ferrar dolerite (Hole 2015)</t>
  </si>
  <si>
    <t>Karoo (Hole 2015)</t>
  </si>
  <si>
    <t>Dronning Maud Land (Hole 2015)</t>
  </si>
  <si>
    <t>Etendeka (Hole 2015)</t>
  </si>
  <si>
    <t>Input Liquid Compositions Here</t>
  </si>
  <si>
    <t>Predicted Fo Compositions and ol-liq temperatures</t>
  </si>
  <si>
    <t xml:space="preserve">Let Column G = </t>
  </si>
  <si>
    <t>Col. H or I</t>
  </si>
  <si>
    <t>Select Value for KD(Fe-Mg)ol-liq</t>
  </si>
  <si>
    <t>Select Value for error bounds</t>
  </si>
  <si>
    <t>Equilibrium minus 1 sigma</t>
  </si>
  <si>
    <t>Equilibrium plus 1 sigma</t>
  </si>
  <si>
    <t>100 X</t>
  </si>
  <si>
    <t>Mg/Fe-ol</t>
  </si>
  <si>
    <t>Mg/Fe-liq</t>
  </si>
  <si>
    <t>Mg#liq - 0.3</t>
  </si>
  <si>
    <t>Mg#ol - 0.3</t>
  </si>
  <si>
    <t>Gray field = input</t>
  </si>
  <si>
    <t>Blue field = output</t>
  </si>
  <si>
    <t>mol</t>
  </si>
  <si>
    <t>Composition of olivine to be added</t>
  </si>
  <si>
    <t>wts</t>
  </si>
  <si>
    <t>Mg/Fe wt ratio</t>
  </si>
  <si>
    <r>
      <t>K</t>
    </r>
    <r>
      <rPr>
        <vertAlign val="subscript"/>
        <sz val="16"/>
        <rFont val="Verdana"/>
        <family val="2"/>
      </rPr>
      <t>D</t>
    </r>
    <r>
      <rPr>
        <sz val="16"/>
        <rFont val="Verdana"/>
        <family val="2"/>
      </rPr>
      <t>(Fe-Mg)</t>
    </r>
    <r>
      <rPr>
        <vertAlign val="superscript"/>
        <sz val="16"/>
        <rFont val="Verdana"/>
        <family val="2"/>
      </rPr>
      <t>ol-liq</t>
    </r>
  </si>
  <si>
    <t>Mg/Fe of olivine to be added</t>
  </si>
  <si>
    <t>Mg/Fe of mantle olivine</t>
  </si>
  <si>
    <t>Mg/Fe of liquid</t>
  </si>
  <si>
    <t>Mg# of liquid</t>
  </si>
  <si>
    <t>MgO liq mol/wt ratio</t>
  </si>
  <si>
    <t>MgO % of primtive liquid</t>
  </si>
  <si>
    <t>Starting Liquid Composition (to which olivine will be added)</t>
  </si>
  <si>
    <t>Olivine Composition - cation fraction</t>
  </si>
  <si>
    <t>Cation Fraction</t>
  </si>
  <si>
    <t>Fe/Mg</t>
  </si>
  <si>
    <t>Mg</t>
    <phoneticPr fontId="1"/>
  </si>
  <si>
    <t>Fe</t>
    <phoneticPr fontId="1"/>
  </si>
  <si>
    <t>Si</t>
    <phoneticPr fontId="1"/>
  </si>
  <si>
    <t>Mg</t>
  </si>
  <si>
    <t>Fe</t>
  </si>
  <si>
    <t>Si</t>
  </si>
  <si>
    <t>MgO wt</t>
    <phoneticPr fontId="1"/>
  </si>
  <si>
    <t>FeO wt</t>
    <phoneticPr fontId="1"/>
  </si>
  <si>
    <t>SiO2</t>
    <phoneticPr fontId="1"/>
  </si>
  <si>
    <t>sum</t>
  </si>
  <si>
    <t>Olivine weight %'s</t>
    <phoneticPr fontId="1"/>
  </si>
  <si>
    <t>MgO</t>
    <phoneticPr fontId="1"/>
  </si>
  <si>
    <t>FeO</t>
    <phoneticPr fontId="1"/>
  </si>
  <si>
    <t>Fraction of olivine added</t>
  </si>
  <si>
    <t>INPUT FOR CALCULATIONS</t>
  </si>
  <si>
    <r>
      <t>SiO</t>
    </r>
    <r>
      <rPr>
        <vertAlign val="subscript"/>
        <sz val="16"/>
        <rFont val="Geneva"/>
        <family val="2"/>
      </rPr>
      <t>2</t>
    </r>
  </si>
  <si>
    <r>
      <t>TiO</t>
    </r>
    <r>
      <rPr>
        <vertAlign val="subscript"/>
        <sz val="16"/>
        <rFont val="Geneva"/>
        <family val="2"/>
      </rPr>
      <t>2</t>
    </r>
  </si>
  <si>
    <r>
      <t>Al</t>
    </r>
    <r>
      <rPr>
        <vertAlign val="subscript"/>
        <sz val="16"/>
        <rFont val="Geneva"/>
        <family val="2"/>
      </rPr>
      <t>2</t>
    </r>
    <r>
      <rPr>
        <sz val="16"/>
        <rFont val="Geneva"/>
        <family val="2"/>
      </rPr>
      <t>O</t>
    </r>
    <r>
      <rPr>
        <vertAlign val="subscript"/>
        <sz val="16"/>
        <rFont val="Geneva"/>
        <family val="2"/>
      </rPr>
      <t>3</t>
    </r>
  </si>
  <si>
    <r>
      <t>Na</t>
    </r>
    <r>
      <rPr>
        <vertAlign val="subscript"/>
        <sz val="16"/>
        <rFont val="Geneva"/>
        <family val="2"/>
      </rPr>
      <t>2</t>
    </r>
    <r>
      <rPr>
        <sz val="16"/>
        <rFont val="Geneva"/>
        <family val="2"/>
      </rPr>
      <t>O</t>
    </r>
  </si>
  <si>
    <r>
      <t>K</t>
    </r>
    <r>
      <rPr>
        <vertAlign val="subscript"/>
        <sz val="16"/>
        <rFont val="Geneva"/>
        <family val="2"/>
      </rPr>
      <t>2</t>
    </r>
    <r>
      <rPr>
        <sz val="16"/>
        <rFont val="Geneva"/>
        <family val="2"/>
      </rPr>
      <t>O</t>
    </r>
  </si>
  <si>
    <r>
      <t>Cr</t>
    </r>
    <r>
      <rPr>
        <vertAlign val="subscript"/>
        <sz val="16"/>
        <rFont val="Geneva"/>
        <family val="2"/>
      </rPr>
      <t>2</t>
    </r>
    <r>
      <rPr>
        <sz val="16"/>
        <rFont val="Geneva"/>
        <family val="2"/>
      </rPr>
      <t>O</t>
    </r>
    <r>
      <rPr>
        <vertAlign val="subscript"/>
        <sz val="16"/>
        <rFont val="Geneva"/>
        <family val="2"/>
      </rPr>
      <t>3</t>
    </r>
  </si>
  <si>
    <r>
      <t>P</t>
    </r>
    <r>
      <rPr>
        <vertAlign val="subscript"/>
        <sz val="16"/>
        <rFont val="Geneva"/>
        <family val="2"/>
      </rPr>
      <t>2</t>
    </r>
    <r>
      <rPr>
        <sz val="16"/>
        <rFont val="Geneva"/>
        <family val="2"/>
      </rPr>
      <t>O</t>
    </r>
    <r>
      <rPr>
        <vertAlign val="subscript"/>
        <sz val="16"/>
        <rFont val="Geneva"/>
        <family val="2"/>
      </rPr>
      <t>5</t>
    </r>
  </si>
  <si>
    <t xml:space="preserve">Composition of olivine to be added to liquid (blue fields are calculated; </t>
  </si>
  <si>
    <t xml:space="preserve"> you may input any values into gray fields)</t>
  </si>
  <si>
    <t>Calcualted Parental Magma Composition</t>
  </si>
  <si>
    <t>Parental Magma Renomralize to 100%</t>
  </si>
  <si>
    <t>This cell should = 0</t>
  </si>
  <si>
    <t>Change this cell</t>
  </si>
  <si>
    <t>(Target) Mantle olivine composition</t>
  </si>
  <si>
    <t>1) Enter liquid composition in cells D15 to N15</t>
  </si>
  <si>
    <t>so as to make A31 = 0</t>
  </si>
  <si>
    <t>2) Enter the Fo content of the olivine to be added to the liquid in B14</t>
  </si>
  <si>
    <r>
      <t>3) Adjust K</t>
    </r>
    <r>
      <rPr>
        <vertAlign val="subscript"/>
        <sz val="18"/>
        <color indexed="8"/>
        <rFont val="Verdana"/>
        <family val="2"/>
      </rPr>
      <t>D</t>
    </r>
    <r>
      <rPr>
        <sz val="18"/>
        <color indexed="8"/>
        <rFont val="Verdana"/>
        <family val="2"/>
      </rPr>
      <t>(Fe-Mg)</t>
    </r>
    <r>
      <rPr>
        <vertAlign val="superscript"/>
        <sz val="18"/>
        <color indexed="8"/>
        <rFont val="Verdana"/>
        <family val="2"/>
      </rPr>
      <t>ol-liq</t>
    </r>
    <r>
      <rPr>
        <sz val="18"/>
        <color indexed="8"/>
        <rFont val="Verdana"/>
        <family val="2"/>
      </rPr>
      <t xml:space="preserve"> in B16</t>
    </r>
  </si>
  <si>
    <t>4) Enter the Fo content of the mantle olivine with which the liquid will be in equilibrium, in B15</t>
  </si>
  <si>
    <t>5) Adjust cell A28 so that cell A31 = 0 (try using "Goal Seek" or "Solver", or adjust manually)</t>
  </si>
  <si>
    <t>Copy and Paste cells D29 to O29 into columns G-Q in "Input P" or O-Y in "Calc P iterative"</t>
  </si>
  <si>
    <t>Calcualte Parental (Mantle Equilibrated) Melt Compositon</t>
  </si>
  <si>
    <t>6) Output = parental magma: cells D27 - O27; paste values into columns "Input P" or "Calc P Iterative" sheets</t>
  </si>
  <si>
    <r>
      <t xml:space="preserve">Calcualte </t>
    </r>
    <r>
      <rPr>
        <b/>
        <i/>
        <sz val="22"/>
        <rFont val="Geneva"/>
        <family val="2"/>
      </rPr>
      <t>T</t>
    </r>
    <r>
      <rPr>
        <b/>
        <vertAlign val="subscript"/>
        <sz val="22"/>
        <rFont val="Geneva"/>
        <family val="2"/>
      </rPr>
      <t>p</t>
    </r>
    <r>
      <rPr>
        <b/>
        <sz val="22"/>
        <rFont val="Geneva"/>
        <family val="2"/>
      </rPr>
      <t xml:space="preserve"> and </t>
    </r>
    <r>
      <rPr>
        <b/>
        <i/>
        <sz val="22"/>
        <rFont val="Geneva"/>
        <family val="2"/>
      </rPr>
      <t>P</t>
    </r>
    <r>
      <rPr>
        <b/>
        <sz val="22"/>
        <rFont val="Geneva"/>
        <family val="2"/>
      </rPr>
      <t xml:space="preserve"> Simultaneously </t>
    </r>
  </si>
  <si>
    <t>Output = Blue Cells</t>
  </si>
  <si>
    <t>Input = Gray Cells</t>
  </si>
  <si>
    <r>
      <t xml:space="preserve">Calcualte </t>
    </r>
    <r>
      <rPr>
        <b/>
        <i/>
        <sz val="22"/>
        <rFont val="Geneva"/>
        <family val="2"/>
      </rPr>
      <t>T</t>
    </r>
    <r>
      <rPr>
        <b/>
        <vertAlign val="subscript"/>
        <sz val="22"/>
        <rFont val="Geneva"/>
        <family val="2"/>
      </rPr>
      <t>p</t>
    </r>
    <r>
      <rPr>
        <b/>
        <sz val="22"/>
        <rFont val="Geneva"/>
        <family val="2"/>
      </rPr>
      <t xml:space="preserve"> using input values for </t>
    </r>
    <r>
      <rPr>
        <b/>
        <i/>
        <sz val="22"/>
        <rFont val="Geneva"/>
        <family val="2"/>
      </rPr>
      <t>P</t>
    </r>
    <r>
      <rPr>
        <b/>
        <sz val="22"/>
        <rFont val="Geneva"/>
        <family val="2"/>
      </rPr>
      <t xml:space="preserve"> </t>
    </r>
  </si>
  <si>
    <t>Calculations for Rhodes Diagram Test of Ol-Liq Equilibrium</t>
  </si>
  <si>
    <t>w/T of Putirka et al</t>
  </si>
  <si>
    <t>c</t>
  </si>
  <si>
    <t>b</t>
  </si>
  <si>
    <t>a</t>
  </si>
  <si>
    <t>d</t>
  </si>
  <si>
    <t>a1</t>
  </si>
  <si>
    <t>a2</t>
  </si>
  <si>
    <t>a3</t>
  </si>
  <si>
    <t>T*(P)</t>
  </si>
  <si>
    <t>Lee and Chin</t>
  </si>
  <si>
    <t>TS(P) Hirsch</t>
  </si>
  <si>
    <t>TS(P) L&amp;C</t>
  </si>
  <si>
    <t>TL(P)</t>
  </si>
  <si>
    <t>bulk</t>
  </si>
  <si>
    <t>Term 3</t>
  </si>
  <si>
    <t>(-b/3a)</t>
  </si>
  <si>
    <t>"-b^3/27a^3"</t>
  </si>
  <si>
    <t>bc/6a^2</t>
  </si>
  <si>
    <t>d/2a</t>
  </si>
  <si>
    <t>c/3*a</t>
  </si>
  <si>
    <t>b^2/9a^2</t>
  </si>
  <si>
    <t>triplet</t>
  </si>
  <si>
    <t>doublet^3</t>
  </si>
  <si>
    <t>1st term</t>
  </si>
  <si>
    <t>2nd term</t>
  </si>
  <si>
    <t>F Lee and Chin</t>
  </si>
  <si>
    <t>Cubic Model</t>
  </si>
  <si>
    <t>Enter MgO of Peridotite</t>
  </si>
  <si>
    <t>Source in Weight %</t>
  </si>
  <si>
    <t>Lee &amp; Chin (2014)</t>
  </si>
  <si>
    <t>Ol</t>
  </si>
  <si>
    <t>An</t>
  </si>
  <si>
    <t>Q</t>
  </si>
  <si>
    <t>F1</t>
  </si>
  <si>
    <t>F2</t>
  </si>
  <si>
    <t>X</t>
  </si>
  <si>
    <t>Y</t>
  </si>
  <si>
    <t>Z</t>
  </si>
  <si>
    <t>X1</t>
  </si>
  <si>
    <t>X2</t>
  </si>
  <si>
    <t>F3</t>
  </si>
  <si>
    <t>D(FeO)</t>
  </si>
  <si>
    <t>F</t>
  </si>
  <si>
    <t>FAFM</t>
  </si>
  <si>
    <t>H&amp;A KD</t>
  </si>
  <si>
    <t>Enter FeO of Peridotite</t>
  </si>
  <si>
    <t>Herzberg and Asimow (2008; 2015)</t>
  </si>
  <si>
    <t>Tol-liq</t>
  </si>
  <si>
    <t>P(Gpa) solidus</t>
  </si>
  <si>
    <t>T solidus</t>
  </si>
  <si>
    <t>Melt Fracitons from Lee and Chin and Herzberg and Asimow</t>
  </si>
  <si>
    <t>test 6b</t>
  </si>
  <si>
    <t>test 6c</t>
  </si>
  <si>
    <t>test 7</t>
  </si>
  <si>
    <r>
      <t>Use var. H</t>
    </r>
    <r>
      <rPr>
        <b/>
        <vertAlign val="subscript"/>
        <sz val="12"/>
        <color rgb="FF000000"/>
        <rFont val="Verdana"/>
        <family val="2"/>
      </rPr>
      <t>fus</t>
    </r>
    <r>
      <rPr>
        <b/>
        <sz val="12"/>
        <color rgb="FF000000"/>
        <rFont val="Verdana"/>
        <family val="2"/>
      </rPr>
      <t>/Cp</t>
    </r>
  </si>
  <si>
    <r>
      <t>H</t>
    </r>
    <r>
      <rPr>
        <b/>
        <vertAlign val="subscript"/>
        <sz val="12"/>
        <color rgb="FF000000"/>
        <rFont val="Verdana"/>
        <family val="2"/>
      </rPr>
      <t>fus</t>
    </r>
    <r>
      <rPr>
        <b/>
        <sz val="12"/>
        <color rgb="FF000000"/>
        <rFont val="Verdana"/>
        <family val="2"/>
      </rPr>
      <t>/Cp = 674.3</t>
    </r>
  </si>
  <si>
    <t>Cp (J/mole*K)</t>
  </si>
  <si>
    <r>
      <t>H</t>
    </r>
    <r>
      <rPr>
        <b/>
        <vertAlign val="subscript"/>
        <sz val="12"/>
        <color rgb="FF000000"/>
        <rFont val="Verdana"/>
        <family val="2"/>
      </rPr>
      <t>fus</t>
    </r>
    <r>
      <rPr>
        <b/>
        <sz val="12"/>
        <color rgb="FF000000"/>
        <rFont val="Verdana"/>
        <family val="2"/>
      </rPr>
      <t xml:space="preserve">/Cp </t>
    </r>
  </si>
  <si>
    <t>Temp inc</t>
  </si>
  <si>
    <t>V</t>
  </si>
  <si>
    <t>Constant</t>
  </si>
  <si>
    <t>Variable</t>
  </si>
  <si>
    <t>J/bar</t>
  </si>
  <si>
    <t>1/K</t>
  </si>
  <si>
    <t>Putirka (2016)</t>
  </si>
  <si>
    <t>T (C) Eqn. 13</t>
  </si>
  <si>
    <r>
      <t>V</t>
    </r>
    <r>
      <rPr>
        <b/>
        <sz val="12"/>
        <color rgb="FFFF0000"/>
        <rFont val="Symbol"/>
        <charset val="2"/>
      </rPr>
      <t>a</t>
    </r>
    <r>
      <rPr>
        <b/>
        <sz val="12"/>
        <color rgb="FFFF0000"/>
        <rFont val="Verdana"/>
        <family val="2"/>
      </rPr>
      <t>T/Cp</t>
    </r>
  </si>
  <si>
    <r>
      <t xml:space="preserve"> </t>
    </r>
    <r>
      <rPr>
        <b/>
        <sz val="11"/>
        <color rgb="FF000000"/>
        <rFont val="Symbol"/>
        <charset val="2"/>
      </rPr>
      <t>D</t>
    </r>
    <r>
      <rPr>
        <b/>
        <sz val="11"/>
        <color rgb="FF000000"/>
        <rFont val="Verdana"/>
        <family val="2"/>
      </rPr>
      <t>H</t>
    </r>
    <r>
      <rPr>
        <b/>
        <vertAlign val="subscript"/>
        <sz val="11"/>
        <color rgb="FF000000"/>
        <rFont val="Verdana"/>
        <family val="2"/>
      </rPr>
      <t xml:space="preserve">fus </t>
    </r>
    <r>
      <rPr>
        <b/>
        <sz val="11"/>
        <color rgb="FF000000"/>
        <rFont val="Verdana"/>
        <family val="2"/>
      </rPr>
      <t>(kJ/mole)</t>
    </r>
  </si>
  <si>
    <t>Eqn. 12a</t>
  </si>
  <si>
    <t>Eqn. 12b</t>
  </si>
  <si>
    <t>QFM + X</t>
  </si>
  <si>
    <t>Parental OIB Magma</t>
  </si>
  <si>
    <t>Parental OI Magma</t>
  </si>
  <si>
    <t>MORB-avg</t>
  </si>
  <si>
    <t>MORB-Si/avg.</t>
  </si>
  <si>
    <t>MORB-Siqueiros</t>
  </si>
  <si>
    <t>Cape Verde</t>
  </si>
  <si>
    <t>Crozet</t>
  </si>
  <si>
    <t>Galapagos</t>
  </si>
  <si>
    <t>Grande Comore</t>
  </si>
  <si>
    <t>Hawaii</t>
  </si>
  <si>
    <t>Iceland</t>
  </si>
  <si>
    <t>Juan Fernandez</t>
  </si>
  <si>
    <t>Kerguelen</t>
  </si>
  <si>
    <t>Louisville</t>
  </si>
  <si>
    <t>Marquesas</t>
  </si>
  <si>
    <t>Ninetyeast Ridge</t>
  </si>
  <si>
    <t>Pitcairn</t>
  </si>
  <si>
    <t>Samoa</t>
  </si>
  <si>
    <t>St. Helena</t>
  </si>
  <si>
    <t>Tahiti/Society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</si>
</sst>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76">
    <font>
      <sz val="12"/>
      <color theme="1"/>
      <name val="arial"/>
      <family val="2"/>
    </font>
    <font>
      <sz val="12"/>
      <name val="Arial"/>
      <family val="2"/>
    </font>
    <font>
      <sz val="14"/>
      <color indexed="8"/>
      <name val="Verdana"/>
      <family val="2"/>
    </font>
    <font>
      <sz val="10"/>
      <color indexed="8"/>
      <name val="Verdana"/>
      <family val="2"/>
    </font>
    <font>
      <sz val="12"/>
      <color indexed="8"/>
      <name val="Verdana"/>
      <family val="2"/>
    </font>
    <font>
      <b/>
      <sz val="10"/>
      <color rgb="FFFF0000"/>
      <name val="Verdana"/>
      <family val="2"/>
    </font>
    <font>
      <b/>
      <sz val="10"/>
      <color indexed="8"/>
      <name val="Verdana"/>
      <family val="2"/>
    </font>
    <font>
      <b/>
      <sz val="12"/>
      <color indexed="8"/>
      <name val="Verdana"/>
      <family val="2"/>
    </font>
    <font>
      <sz val="11"/>
      <color indexed="8"/>
      <name val="Verdana"/>
      <family val="2"/>
    </font>
    <font>
      <b/>
      <sz val="11"/>
      <color indexed="8"/>
      <name val="Verdana"/>
      <family val="2"/>
    </font>
    <font>
      <sz val="16"/>
      <color indexed="8"/>
      <name val="Verdana"/>
      <family val="2"/>
    </font>
    <font>
      <b/>
      <sz val="16"/>
      <color rgb="FFFF0000"/>
      <name val="Verdana"/>
      <family val="2"/>
    </font>
    <font>
      <b/>
      <sz val="11"/>
      <name val="Verdana"/>
      <family val="2"/>
    </font>
    <font>
      <b/>
      <sz val="11"/>
      <color rgb="FFFF0000"/>
      <name val="Verdana"/>
      <family val="2"/>
    </font>
    <font>
      <b/>
      <sz val="14"/>
      <name val="Verdana"/>
      <family val="2"/>
    </font>
    <font>
      <b/>
      <sz val="11"/>
      <color rgb="FF000000"/>
      <name val="Verdana"/>
      <family val="2"/>
    </font>
    <font>
      <b/>
      <sz val="16"/>
      <name val="Arial"/>
      <family val="2"/>
    </font>
    <font>
      <u/>
      <sz val="12"/>
      <color theme="10"/>
      <name val="Arial"/>
      <family val="2"/>
    </font>
    <font>
      <u/>
      <sz val="12"/>
      <color theme="11"/>
      <name val="Arial"/>
      <family val="2"/>
    </font>
    <font>
      <b/>
      <sz val="12"/>
      <name val="Verdana"/>
      <family val="2"/>
    </font>
    <font>
      <b/>
      <vertAlign val="subscript"/>
      <sz val="11"/>
      <name val="Verdana"/>
      <family val="2"/>
    </font>
    <font>
      <b/>
      <vertAlign val="superscript"/>
      <sz val="12"/>
      <color indexed="8"/>
      <name val="Verdana"/>
      <family val="2"/>
    </font>
    <font>
      <sz val="12"/>
      <name val="Arial"/>
      <family val="2"/>
    </font>
    <font>
      <sz val="8"/>
      <name val="Arial"/>
      <family val="2"/>
    </font>
    <font>
      <b/>
      <vertAlign val="subscript"/>
      <sz val="11"/>
      <color rgb="FFFF0000"/>
      <name val="Verdana"/>
      <family val="2"/>
    </font>
    <font>
      <sz val="12"/>
      <name val="Verdana"/>
      <family val="2"/>
    </font>
    <font>
      <b/>
      <sz val="14"/>
      <name val="Arial"/>
      <family val="2"/>
    </font>
    <font>
      <sz val="14"/>
      <color indexed="8"/>
      <name val="Arial"/>
      <family val="2"/>
    </font>
    <font>
      <sz val="16"/>
      <color theme="1"/>
      <name val="Arial"/>
      <family val="2"/>
    </font>
    <font>
      <b/>
      <sz val="18"/>
      <name val="Geneva"/>
      <family val="2"/>
    </font>
    <font>
      <sz val="14"/>
      <name val="Verdana"/>
      <family val="2"/>
    </font>
    <font>
      <sz val="12"/>
      <name val="Geneva"/>
      <family val="2"/>
    </font>
    <font>
      <sz val="18"/>
      <color indexed="8"/>
      <name val="Verdana"/>
      <family val="2"/>
    </font>
    <font>
      <vertAlign val="subscript"/>
      <sz val="18"/>
      <color indexed="8"/>
      <name val="Verdana"/>
      <family val="2"/>
    </font>
    <font>
      <vertAlign val="superscript"/>
      <sz val="18"/>
      <color indexed="8"/>
      <name val="Verdana"/>
      <family val="2"/>
    </font>
    <font>
      <b/>
      <sz val="16"/>
      <name val="Verdana"/>
      <family val="2"/>
    </font>
    <font>
      <sz val="16"/>
      <name val="Verdana"/>
      <family val="2"/>
    </font>
    <font>
      <sz val="16"/>
      <name val="Geneva"/>
      <family val="2"/>
    </font>
    <font>
      <vertAlign val="subscript"/>
      <sz val="16"/>
      <name val="Verdana"/>
      <family val="2"/>
    </font>
    <font>
      <vertAlign val="superscript"/>
      <sz val="16"/>
      <name val="Verdana"/>
      <family val="2"/>
    </font>
    <font>
      <b/>
      <sz val="12"/>
      <name val="Geneva"/>
      <family val="2"/>
    </font>
    <font>
      <vertAlign val="subscript"/>
      <sz val="16"/>
      <name val="Geneva"/>
      <family val="2"/>
    </font>
    <font>
      <b/>
      <sz val="18"/>
      <color indexed="8"/>
      <name val="Verdana"/>
      <family val="2"/>
    </font>
    <font>
      <b/>
      <sz val="22"/>
      <name val="Geneva"/>
      <family val="2"/>
    </font>
    <font>
      <sz val="18"/>
      <name val="Geneva"/>
      <family val="2"/>
    </font>
    <font>
      <b/>
      <sz val="16"/>
      <name val="Geneva"/>
      <family val="2"/>
    </font>
    <font>
      <sz val="16"/>
      <color indexed="8"/>
      <name val="Geneva"/>
      <family val="2"/>
    </font>
    <font>
      <b/>
      <vertAlign val="subscript"/>
      <sz val="22"/>
      <name val="Geneva"/>
      <family val="2"/>
    </font>
    <font>
      <b/>
      <i/>
      <sz val="22"/>
      <name val="Geneva"/>
      <family val="2"/>
    </font>
    <font>
      <b/>
      <sz val="14"/>
      <color indexed="8"/>
      <name val="Verdana"/>
      <family val="2"/>
    </font>
    <font>
      <b/>
      <sz val="16"/>
      <color indexed="8"/>
      <name val="Verdana"/>
      <family val="2"/>
    </font>
    <font>
      <b/>
      <sz val="16"/>
      <color rgb="FF000000"/>
      <name val="Verdana"/>
      <family val="2"/>
    </font>
    <font>
      <b/>
      <sz val="14"/>
      <color theme="1"/>
      <name val="Arial"/>
      <family val="2"/>
    </font>
    <font>
      <b/>
      <sz val="14"/>
      <color theme="9" tint="-0.499984740745262"/>
      <name val="Verdana"/>
      <family val="2"/>
    </font>
    <font>
      <b/>
      <sz val="18"/>
      <color theme="1"/>
      <name val="Arial"/>
      <family val="2"/>
    </font>
    <font>
      <b/>
      <sz val="12"/>
      <color rgb="FF000000"/>
      <name val="Verdana"/>
      <family val="2"/>
    </font>
    <font>
      <b/>
      <vertAlign val="subscript"/>
      <sz val="12"/>
      <color rgb="FF000000"/>
      <name val="Verdana"/>
      <family val="2"/>
    </font>
    <font>
      <b/>
      <vertAlign val="subscript"/>
      <sz val="11"/>
      <color rgb="FF000000"/>
      <name val="Verdana"/>
      <family val="2"/>
    </font>
    <font>
      <sz val="16"/>
      <color theme="1"/>
      <name val="Symbol"/>
      <charset val="2"/>
    </font>
    <font>
      <b/>
      <sz val="12"/>
      <color rgb="FFFF0000"/>
      <name val="Verdana"/>
      <family val="2"/>
    </font>
    <font>
      <b/>
      <sz val="12"/>
      <color rgb="FFFF0000"/>
      <name val="Symbol"/>
      <charset val="2"/>
    </font>
    <font>
      <b/>
      <sz val="12"/>
      <name val="Arial"/>
      <family val="2"/>
    </font>
    <font>
      <b/>
      <sz val="12"/>
      <color indexed="81"/>
      <name val="Arial"/>
      <family val="2"/>
    </font>
    <font>
      <sz val="12"/>
      <color indexed="81"/>
      <name val="Arial"/>
      <family val="2"/>
    </font>
    <font>
      <b/>
      <sz val="12"/>
      <color theme="1"/>
      <name val="Arial"/>
      <family val="2"/>
    </font>
    <font>
      <sz val="9"/>
      <color indexed="81"/>
      <name val="Arial"/>
      <family val="2"/>
    </font>
    <font>
      <b/>
      <sz val="9"/>
      <color indexed="81"/>
      <name val="Arial"/>
      <family val="2"/>
    </font>
    <font>
      <sz val="10"/>
      <color indexed="81"/>
      <name val="Arial"/>
      <family val="2"/>
    </font>
    <font>
      <b/>
      <sz val="11"/>
      <color rgb="FF000000"/>
      <name val="Symbol"/>
      <charset val="2"/>
    </font>
    <font>
      <sz val="10"/>
      <name val="Geneva"/>
      <family val="2"/>
    </font>
    <font>
      <b/>
      <sz val="10"/>
      <name val="Geneva"/>
      <family val="2"/>
    </font>
    <font>
      <sz val="12"/>
      <name val="Times"/>
      <family val="1"/>
    </font>
    <font>
      <sz val="12"/>
      <color rgb="FF000000"/>
      <name val="Arial"/>
      <family val="2"/>
    </font>
    <font>
      <sz val="10"/>
      <color rgb="FF000000"/>
      <name val="Arial"/>
      <family val="2"/>
    </font>
    <font>
      <b/>
      <sz val="9"/>
      <color rgb="FF000000"/>
      <name val="Arial"/>
      <family val="2"/>
    </font>
    <font>
      <sz val="9"/>
      <color rgb="FF00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7"/>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C5D9F1"/>
        <bgColor rgb="FF000000"/>
      </patternFill>
    </fill>
    <fill>
      <patternFill patternType="solid">
        <fgColor rgb="FFFFFF00"/>
        <bgColor indexed="64"/>
      </patternFill>
    </fill>
  </fills>
  <borders count="4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right style="thick">
        <color auto="1"/>
      </right>
      <top/>
      <bottom style="medium">
        <color auto="1"/>
      </bottom>
      <diagonal/>
    </border>
    <border>
      <left style="thin">
        <color auto="1"/>
      </left>
      <right/>
      <top style="medium">
        <color auto="1"/>
      </top>
      <bottom style="medium">
        <color auto="1"/>
      </bottom>
      <diagonal/>
    </border>
  </borders>
  <cellStyleXfs count="22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59">
    <xf numFmtId="0" fontId="0" fillId="0" borderId="0" xfId="0"/>
    <xf numFmtId="0" fontId="2" fillId="0" borderId="0" xfId="0" applyFont="1"/>
    <xf numFmtId="0" fontId="3" fillId="0" borderId="0" xfId="0" applyFont="1" applyFill="1"/>
    <xf numFmtId="2" fontId="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5" fillId="0" borderId="0" xfId="0" applyFont="1" applyFill="1" applyAlignment="1">
      <alignment horizontal="center"/>
    </xf>
    <xf numFmtId="0" fontId="2" fillId="0" borderId="4" xfId="0" applyFont="1" applyFill="1" applyBorder="1"/>
    <xf numFmtId="0" fontId="3" fillId="0" borderId="0" xfId="0" applyFont="1"/>
    <xf numFmtId="0" fontId="7" fillId="0" borderId="0" xfId="0" applyFont="1" applyFill="1"/>
    <xf numFmtId="2" fontId="3" fillId="0" borderId="0" xfId="0" applyNumberFormat="1"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11" fillId="0" borderId="0" xfId="0" applyFont="1"/>
    <xf numFmtId="0" fontId="8" fillId="0" borderId="0" xfId="0" applyFont="1" applyFill="1"/>
    <xf numFmtId="0" fontId="8" fillId="0" borderId="0" xfId="0" applyFont="1" applyFill="1" applyAlignment="1">
      <alignment horizontal="left"/>
    </xf>
    <xf numFmtId="0" fontId="0" fillId="0" borderId="0" xfId="0" applyFill="1"/>
    <xf numFmtId="2" fontId="8" fillId="0" borderId="0" xfId="0" applyNumberFormat="1" applyFont="1" applyFill="1" applyAlignment="1">
      <alignment horizontal="left"/>
    </xf>
    <xf numFmtId="0" fontId="9" fillId="0" borderId="0" xfId="0" applyFont="1" applyFill="1"/>
    <xf numFmtId="0" fontId="9" fillId="0" borderId="0" xfId="0" applyFont="1"/>
    <xf numFmtId="0" fontId="9" fillId="0" borderId="0" xfId="0" applyFont="1" applyAlignment="1">
      <alignment horizontal="center"/>
    </xf>
    <xf numFmtId="0" fontId="13" fillId="0" borderId="0" xfId="0" applyFont="1" applyAlignment="1">
      <alignment horizontal="left"/>
    </xf>
    <xf numFmtId="0" fontId="9" fillId="3" borderId="0" xfId="0" applyFont="1" applyFill="1" applyAlignment="1">
      <alignment horizontal="left"/>
    </xf>
    <xf numFmtId="0" fontId="8" fillId="3" borderId="0" xfId="0" applyFont="1" applyFill="1"/>
    <xf numFmtId="0" fontId="8" fillId="0" borderId="1" xfId="0" applyFont="1" applyFill="1" applyBorder="1"/>
    <xf numFmtId="0" fontId="8" fillId="0" borderId="3" xfId="0" applyFont="1" applyFill="1" applyBorder="1"/>
    <xf numFmtId="0" fontId="8" fillId="0" borderId="2" xfId="0" applyFont="1" applyFill="1" applyBorder="1"/>
    <xf numFmtId="0" fontId="8" fillId="0" borderId="0" xfId="0" applyFont="1" applyFill="1" applyBorder="1"/>
    <xf numFmtId="0" fontId="9" fillId="3" borderId="8" xfId="0" applyFont="1" applyFill="1" applyBorder="1" applyAlignment="1">
      <alignment horizontal="center"/>
    </xf>
    <xf numFmtId="0" fontId="9" fillId="0" borderId="7" xfId="0" applyFont="1" applyFill="1" applyBorder="1"/>
    <xf numFmtId="0" fontId="9" fillId="0" borderId="8" xfId="0" applyFont="1" applyFill="1" applyBorder="1"/>
    <xf numFmtId="0" fontId="9" fillId="0" borderId="9" xfId="0" applyFont="1" applyFill="1" applyBorder="1"/>
    <xf numFmtId="0" fontId="9" fillId="0" borderId="0" xfId="0" applyFont="1" applyFill="1" applyBorder="1"/>
    <xf numFmtId="1" fontId="3" fillId="0" borderId="0" xfId="0" applyNumberFormat="1" applyFont="1" applyFill="1" applyAlignment="1">
      <alignment horizontal="center"/>
    </xf>
    <xf numFmtId="0" fontId="19" fillId="2" borderId="11" xfId="0" applyFont="1" applyFill="1" applyBorder="1" applyAlignment="1">
      <alignment horizontal="center"/>
    </xf>
    <xf numFmtId="0" fontId="12" fillId="2" borderId="11" xfId="0" applyFont="1" applyFill="1" applyBorder="1" applyAlignment="1">
      <alignment horizontal="center"/>
    </xf>
    <xf numFmtId="0" fontId="12" fillId="2" borderId="13" xfId="0" applyFont="1" applyFill="1" applyBorder="1" applyAlignment="1">
      <alignment horizontal="center"/>
    </xf>
    <xf numFmtId="0" fontId="12" fillId="2" borderId="0"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9" fillId="2" borderId="10" xfId="0" applyFont="1" applyFill="1" applyBorder="1" applyAlignment="1">
      <alignment horizontal="center"/>
    </xf>
    <xf numFmtId="0" fontId="12" fillId="2" borderId="12" xfId="0" applyFont="1" applyFill="1" applyBorder="1" applyAlignment="1">
      <alignment horizontal="center"/>
    </xf>
    <xf numFmtId="0" fontId="12" fillId="2" borderId="14" xfId="0" applyFont="1" applyFill="1" applyBorder="1" applyAlignment="1">
      <alignment horizontal="center"/>
    </xf>
    <xf numFmtId="0" fontId="12" fillId="2" borderId="17" xfId="0" applyFont="1" applyFill="1" applyBorder="1" applyAlignment="1">
      <alignment horizontal="center"/>
    </xf>
    <xf numFmtId="0" fontId="9" fillId="0" borderId="8" xfId="0" applyFont="1" applyFill="1" applyBorder="1" applyAlignment="1">
      <alignment horizontal="center"/>
    </xf>
    <xf numFmtId="0" fontId="12" fillId="0" borderId="0" xfId="0" applyFont="1" applyFill="1" applyBorder="1" applyAlignment="1">
      <alignment horizontal="center"/>
    </xf>
    <xf numFmtId="0" fontId="12" fillId="2" borderId="0" xfId="0" applyFont="1" applyFill="1" applyBorder="1" applyAlignment="1">
      <alignment horizontal="left"/>
    </xf>
    <xf numFmtId="0" fontId="14" fillId="2" borderId="0" xfId="0" applyFont="1" applyFill="1" applyBorder="1" applyAlignment="1">
      <alignment horizontal="left"/>
    </xf>
    <xf numFmtId="0" fontId="8" fillId="4" borderId="0" xfId="0" applyFont="1" applyFill="1"/>
    <xf numFmtId="1" fontId="16" fillId="4" borderId="0" xfId="0" applyNumberFormat="1" applyFont="1" applyFill="1" applyAlignment="1">
      <alignment horizontal="center" vertical="center"/>
    </xf>
    <xf numFmtId="0" fontId="9" fillId="4" borderId="8" xfId="0" applyFont="1" applyFill="1" applyBorder="1" applyAlignment="1">
      <alignment horizontal="center"/>
    </xf>
    <xf numFmtId="0" fontId="9" fillId="4" borderId="0" xfId="0" applyFont="1" applyFill="1" applyAlignment="1">
      <alignment horizontal="center"/>
    </xf>
    <xf numFmtId="2" fontId="3" fillId="4" borderId="0" xfId="0" applyNumberFormat="1" applyFont="1" applyFill="1" applyAlignment="1">
      <alignment horizontal="center"/>
    </xf>
    <xf numFmtId="1" fontId="3" fillId="4" borderId="0" xfId="0" applyNumberFormat="1" applyFont="1" applyFill="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2" fontId="0" fillId="0" borderId="0" xfId="0" applyNumberFormat="1" applyFont="1" applyFill="1" applyAlignment="1">
      <alignment horizontal="center"/>
    </xf>
    <xf numFmtId="2" fontId="0" fillId="0" borderId="0" xfId="0" applyNumberFormat="1" applyFont="1" applyFill="1" applyAlignment="1">
      <alignment horizontal="center" vertical="center"/>
    </xf>
    <xf numFmtId="2" fontId="0" fillId="0" borderId="0" xfId="0" applyNumberFormat="1" applyFont="1" applyAlignment="1">
      <alignment horizontal="center"/>
    </xf>
    <xf numFmtId="2" fontId="0" fillId="0" borderId="0" xfId="0" applyNumberFormat="1" applyFont="1" applyAlignment="1">
      <alignment horizontal="center" vertical="center"/>
    </xf>
    <xf numFmtId="0" fontId="13" fillId="0" borderId="0" xfId="0" applyFont="1" applyAlignment="1">
      <alignment horizontal="center"/>
    </xf>
    <xf numFmtId="0" fontId="9" fillId="4" borderId="0" xfId="0" applyFont="1" applyFill="1" applyAlignment="1">
      <alignment horizontal="left"/>
    </xf>
    <xf numFmtId="164" fontId="3" fillId="4" borderId="0" xfId="0" applyNumberFormat="1" applyFont="1" applyFill="1" applyAlignment="1">
      <alignment horizontal="center"/>
    </xf>
    <xf numFmtId="0" fontId="12" fillId="2" borderId="20" xfId="0" applyFont="1" applyFill="1" applyBorder="1" applyAlignment="1">
      <alignment horizontal="left"/>
    </xf>
    <xf numFmtId="2" fontId="22" fillId="5" borderId="0" xfId="0" applyNumberFormat="1" applyFont="1" applyFill="1" applyBorder="1" applyAlignment="1" applyProtection="1">
      <alignment horizontal="center" vertical="center"/>
      <protection locked="0"/>
    </xf>
    <xf numFmtId="2" fontId="4" fillId="5" borderId="0" xfId="0" applyNumberFormat="1" applyFont="1" applyFill="1" applyAlignment="1">
      <alignment horizontal="center"/>
    </xf>
    <xf numFmtId="0" fontId="0" fillId="0" borderId="0" xfId="0" applyBorder="1"/>
    <xf numFmtId="2" fontId="3" fillId="4" borderId="0" xfId="0" applyNumberFormat="1" applyFont="1" applyFill="1" applyBorder="1" applyAlignment="1">
      <alignment horizontal="center"/>
    </xf>
    <xf numFmtId="1" fontId="3" fillId="4"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0" xfId="0" applyNumberFormat="1" applyFont="1" applyBorder="1" applyAlignment="1">
      <alignment horizontal="center" vertical="center"/>
    </xf>
    <xf numFmtId="2" fontId="3" fillId="0" borderId="0" xfId="0" applyNumberFormat="1" applyFont="1" applyFill="1" applyBorder="1" applyAlignment="1">
      <alignment horizontal="center"/>
    </xf>
    <xf numFmtId="0" fontId="3" fillId="0" borderId="0" xfId="0" applyFont="1" applyFill="1" applyBorder="1"/>
    <xf numFmtId="164" fontId="3" fillId="4"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7" fillId="0" borderId="0" xfId="0" applyFont="1" applyFill="1" applyBorder="1"/>
    <xf numFmtId="0" fontId="0" fillId="0" borderId="0" xfId="0" applyAlignment="1">
      <alignment horizontal="center"/>
    </xf>
    <xf numFmtId="0" fontId="8" fillId="0" borderId="0" xfId="0" applyFont="1" applyFill="1" applyAlignment="1">
      <alignment horizontal="center"/>
    </xf>
    <xf numFmtId="0" fontId="8" fillId="3" borderId="0" xfId="0" applyFont="1" applyFill="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5" borderId="0" xfId="0" applyFill="1" applyBorder="1" applyAlignment="1">
      <alignment horizontal="center"/>
    </xf>
    <xf numFmtId="2" fontId="0" fillId="5" borderId="0" xfId="0" applyNumberFormat="1" applyFill="1" applyAlignment="1">
      <alignment horizontal="center"/>
    </xf>
    <xf numFmtId="0" fontId="0" fillId="5" borderId="0" xfId="0" applyFill="1" applyAlignment="1">
      <alignment horizontal="center"/>
    </xf>
    <xf numFmtId="2" fontId="16" fillId="0" borderId="0" xfId="0" applyNumberFormat="1" applyFont="1" applyFill="1" applyAlignment="1">
      <alignment horizontal="center" vertical="center"/>
    </xf>
    <xf numFmtId="164" fontId="16" fillId="0" borderId="0" xfId="0" applyNumberFormat="1" applyFont="1" applyFill="1" applyAlignment="1">
      <alignment horizontal="center" vertical="center"/>
    </xf>
    <xf numFmtId="2" fontId="16" fillId="0" borderId="0" xfId="0" applyNumberFormat="1" applyFont="1" applyFill="1" applyBorder="1" applyAlignment="1">
      <alignment horizontal="center" vertical="center"/>
    </xf>
    <xf numFmtId="0" fontId="0" fillId="0" borderId="0" xfId="0" applyFont="1"/>
    <xf numFmtId="0" fontId="22" fillId="0" borderId="0" xfId="0" applyFont="1" applyFill="1" applyBorder="1" applyAlignment="1" applyProtection="1">
      <alignment horizontal="left" vertical="center"/>
      <protection locked="0"/>
    </xf>
    <xf numFmtId="0" fontId="2" fillId="0" borderId="0" xfId="0" applyFont="1" applyAlignment="1">
      <alignment horizontal="center"/>
    </xf>
    <xf numFmtId="0" fontId="3" fillId="0" borderId="0" xfId="0" applyFont="1" applyAlignment="1">
      <alignment horizontal="center"/>
    </xf>
    <xf numFmtId="0" fontId="9" fillId="0" borderId="16" xfId="0" applyFont="1" applyBorder="1" applyAlignment="1">
      <alignment horizontal="center"/>
    </xf>
    <xf numFmtId="0" fontId="9" fillId="4" borderId="16" xfId="0" applyFont="1" applyFill="1" applyBorder="1" applyAlignment="1">
      <alignment horizontal="center"/>
    </xf>
    <xf numFmtId="2" fontId="16" fillId="5" borderId="0" xfId="0" applyNumberFormat="1" applyFont="1" applyFill="1" applyAlignment="1">
      <alignment horizontal="center" vertical="center"/>
    </xf>
    <xf numFmtId="2" fontId="16" fillId="5" borderId="0" xfId="0" applyNumberFormat="1" applyFont="1" applyFill="1" applyBorder="1" applyAlignment="1">
      <alignment horizontal="center" vertical="center"/>
    </xf>
    <xf numFmtId="0" fontId="25" fillId="4"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xf numFmtId="49" fontId="0" fillId="0" borderId="0" xfId="0" applyNumberFormat="1" applyFont="1"/>
    <xf numFmtId="0" fontId="0" fillId="0" borderId="0" xfId="0" applyFont="1" applyFill="1" applyBorder="1"/>
    <xf numFmtId="1" fontId="22" fillId="0" borderId="0" xfId="0" applyNumberFormat="1" applyFont="1" applyFill="1" applyAlignment="1">
      <alignment horizontal="center" vertical="center"/>
    </xf>
    <xf numFmtId="1" fontId="22" fillId="0" borderId="0" xfId="0" applyNumberFormat="1" applyFont="1" applyFill="1" applyBorder="1" applyAlignment="1">
      <alignment horizontal="center" vertical="center"/>
    </xf>
    <xf numFmtId="1" fontId="26" fillId="4" borderId="0" xfId="0" applyNumberFormat="1" applyFont="1" applyFill="1" applyAlignment="1">
      <alignment horizontal="center" vertical="center"/>
    </xf>
    <xf numFmtId="2" fontId="27" fillId="4" borderId="0" xfId="0" applyNumberFormat="1" applyFont="1" applyFill="1" applyAlignment="1">
      <alignment horizontal="center"/>
    </xf>
    <xf numFmtId="1" fontId="27" fillId="4" borderId="0" xfId="0" applyNumberFormat="1" applyFont="1" applyFill="1" applyAlignment="1">
      <alignment horizontal="center"/>
    </xf>
    <xf numFmtId="2" fontId="27" fillId="4" borderId="0" xfId="0" applyNumberFormat="1" applyFont="1" applyFill="1" applyBorder="1" applyAlignment="1">
      <alignment horizontal="center"/>
    </xf>
    <xf numFmtId="1" fontId="27" fillId="4" borderId="0" xfId="0" applyNumberFormat="1" applyFont="1" applyFill="1" applyBorder="1" applyAlignment="1">
      <alignment horizontal="center"/>
    </xf>
    <xf numFmtId="0" fontId="2" fillId="0" borderId="18" xfId="0" applyFont="1" applyFill="1" applyBorder="1"/>
    <xf numFmtId="0" fontId="8" fillId="0" borderId="20" xfId="0" applyFont="1" applyFill="1" applyBorder="1" applyAlignment="1">
      <alignment horizontal="center"/>
    </xf>
    <xf numFmtId="0" fontId="8" fillId="0" borderId="19" xfId="0" applyFont="1" applyFill="1" applyBorder="1" applyAlignment="1">
      <alignment horizontal="center"/>
    </xf>
    <xf numFmtId="0" fontId="28" fillId="0" borderId="18" xfId="0" applyFont="1" applyBorder="1"/>
    <xf numFmtId="0" fontId="0" fillId="0" borderId="20" xfId="0" applyBorder="1"/>
    <xf numFmtId="0" fontId="0" fillId="0" borderId="19" xfId="0" applyBorder="1"/>
    <xf numFmtId="0" fontId="13" fillId="5" borderId="0" xfId="0" applyFont="1" applyFill="1" applyAlignment="1">
      <alignment horizontal="center"/>
    </xf>
    <xf numFmtId="0" fontId="7" fillId="4" borderId="28" xfId="0" applyFont="1" applyFill="1" applyBorder="1" applyAlignment="1">
      <alignment horizontal="center"/>
    </xf>
    <xf numFmtId="0" fontId="9" fillId="4" borderId="29" xfId="0" applyFont="1" applyFill="1" applyBorder="1" applyAlignment="1">
      <alignment horizontal="center"/>
    </xf>
    <xf numFmtId="0" fontId="9" fillId="4" borderId="30" xfId="0" applyFont="1" applyFill="1" applyBorder="1" applyAlignment="1">
      <alignment horizontal="center"/>
    </xf>
    <xf numFmtId="0" fontId="9" fillId="4" borderId="31" xfId="0" applyFont="1" applyFill="1" applyBorder="1" applyAlignment="1">
      <alignment horizontal="center"/>
    </xf>
    <xf numFmtId="0" fontId="9" fillId="4" borderId="32" xfId="0" applyFont="1" applyFill="1" applyBorder="1" applyAlignment="1">
      <alignment horizontal="center"/>
    </xf>
    <xf numFmtId="0" fontId="7" fillId="4" borderId="33" xfId="0" applyFont="1" applyFill="1" applyBorder="1" applyAlignment="1">
      <alignment horizontal="center"/>
    </xf>
    <xf numFmtId="0" fontId="3" fillId="0" borderId="20" xfId="0" applyFont="1" applyFill="1" applyBorder="1"/>
    <xf numFmtId="0" fontId="3" fillId="0" borderId="19" xfId="0" applyFont="1" applyFill="1" applyBorder="1"/>
    <xf numFmtId="2" fontId="25" fillId="4" borderId="0"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Alignment="1">
      <alignment horizontal="center"/>
    </xf>
    <xf numFmtId="0" fontId="10" fillId="5" borderId="24" xfId="0" applyFont="1" applyFill="1" applyBorder="1" applyAlignment="1">
      <alignment horizontal="center"/>
    </xf>
    <xf numFmtId="0" fontId="10" fillId="5" borderId="26" xfId="0" applyFont="1" applyFill="1" applyBorder="1" applyAlignment="1">
      <alignment horizontal="center"/>
    </xf>
    <xf numFmtId="0" fontId="10" fillId="5" borderId="25" xfId="0" applyFont="1" applyFill="1" applyBorder="1" applyAlignment="1">
      <alignment horizontal="center"/>
    </xf>
    <xf numFmtId="0" fontId="10" fillId="0" borderId="18" xfId="0" applyFont="1" applyFill="1" applyBorder="1"/>
    <xf numFmtId="0" fontId="8" fillId="0" borderId="20" xfId="0" applyFont="1" applyFill="1" applyBorder="1"/>
    <xf numFmtId="0" fontId="8" fillId="0" borderId="19" xfId="0" applyFont="1" applyFill="1" applyBorder="1"/>
    <xf numFmtId="0" fontId="28" fillId="5" borderId="18" xfId="0" applyFont="1" applyFill="1" applyBorder="1"/>
    <xf numFmtId="0" fontId="0" fillId="5" borderId="20" xfId="0" applyFont="1" applyFill="1" applyBorder="1"/>
    <xf numFmtId="0" fontId="0" fillId="5" borderId="19" xfId="0" applyFont="1" applyFill="1" applyBorder="1"/>
    <xf numFmtId="2" fontId="3" fillId="5" borderId="0" xfId="0" applyNumberFormat="1" applyFont="1" applyFill="1" applyAlignment="1">
      <alignment horizontal="center"/>
    </xf>
    <xf numFmtId="0" fontId="13" fillId="0" borderId="16" xfId="0" applyFont="1" applyBorder="1" applyAlignment="1">
      <alignment horizontal="center"/>
    </xf>
    <xf numFmtId="0" fontId="9" fillId="0" borderId="16" xfId="0" applyFont="1" applyBorder="1"/>
    <xf numFmtId="0" fontId="29" fillId="0" borderId="0" xfId="0" applyFont="1"/>
    <xf numFmtId="0" fontId="14" fillId="0" borderId="1" xfId="0" applyFont="1" applyBorder="1"/>
    <xf numFmtId="0" fontId="30" fillId="0" borderId="3" xfId="0" applyFont="1" applyBorder="1"/>
    <xf numFmtId="0" fontId="30" fillId="0" borderId="2" xfId="0" applyFont="1" applyBorder="1"/>
    <xf numFmtId="0" fontId="30" fillId="0" borderId="7" xfId="0" applyFont="1" applyBorder="1"/>
    <xf numFmtId="0" fontId="14" fillId="0" borderId="34" xfId="0" applyFont="1" applyBorder="1"/>
    <xf numFmtId="0" fontId="30" fillId="0" borderId="9" xfId="0" applyFont="1" applyBorder="1"/>
    <xf numFmtId="0" fontId="30" fillId="0" borderId="0" xfId="0" applyFont="1" applyBorder="1"/>
    <xf numFmtId="0" fontId="19" fillId="0" borderId="0" xfId="0" applyFont="1"/>
    <xf numFmtId="0" fontId="14" fillId="0" borderId="7" xfId="0" applyFont="1" applyBorder="1"/>
    <xf numFmtId="0" fontId="14" fillId="0" borderId="0" xfId="0" applyFont="1"/>
    <xf numFmtId="0" fontId="0" fillId="0" borderId="3" xfId="0" applyBorder="1"/>
    <xf numFmtId="0" fontId="31" fillId="0" borderId="0" xfId="0" applyFont="1"/>
    <xf numFmtId="0" fontId="31" fillId="0" borderId="0" xfId="0" applyFont="1" applyAlignment="1">
      <alignment horizontal="center"/>
    </xf>
    <xf numFmtId="0" fontId="25" fillId="0" borderId="1" xfId="137" applyBorder="1"/>
    <xf numFmtId="0" fontId="25" fillId="0" borderId="3" xfId="137" applyBorder="1"/>
    <xf numFmtId="0" fontId="25" fillId="0" borderId="2" xfId="137" applyBorder="1"/>
    <xf numFmtId="0" fontId="36" fillId="0" borderId="13" xfId="0" applyFont="1" applyBorder="1"/>
    <xf numFmtId="0" fontId="25" fillId="0" borderId="7" xfId="137" applyBorder="1"/>
    <xf numFmtId="0" fontId="25" fillId="0" borderId="8" xfId="137" applyBorder="1"/>
    <xf numFmtId="0" fontId="25" fillId="0" borderId="9" xfId="137" applyBorder="1"/>
    <xf numFmtId="0" fontId="31" fillId="0" borderId="4" xfId="137" applyFont="1" applyBorder="1"/>
    <xf numFmtId="0" fontId="31" fillId="0" borderId="5" xfId="0" applyFont="1" applyBorder="1" applyAlignment="1">
      <alignment horizontal="center"/>
    </xf>
    <xf numFmtId="0" fontId="31" fillId="0" borderId="6" xfId="137" applyFont="1" applyBorder="1"/>
    <xf numFmtId="0" fontId="36" fillId="0" borderId="15" xfId="0" applyFont="1" applyBorder="1"/>
    <xf numFmtId="0" fontId="31" fillId="0" borderId="10" xfId="137" applyFont="1" applyBorder="1"/>
    <xf numFmtId="166" fontId="40" fillId="0" borderId="12" xfId="137" applyNumberFormat="1" applyFont="1" applyBorder="1" applyAlignment="1">
      <alignment horizontal="center"/>
    </xf>
    <xf numFmtId="0" fontId="31" fillId="0" borderId="0" xfId="137" applyFont="1"/>
    <xf numFmtId="0" fontId="31" fillId="0" borderId="13" xfId="137" applyFont="1" applyBorder="1"/>
    <xf numFmtId="166" fontId="40" fillId="0" borderId="14" xfId="137" applyNumberFormat="1" applyFont="1" applyBorder="1" applyAlignment="1">
      <alignment horizontal="center"/>
    </xf>
    <xf numFmtId="0" fontId="31" fillId="0" borderId="15" xfId="137" applyFont="1" applyBorder="1"/>
    <xf numFmtId="166" fontId="40" fillId="0" borderId="17" xfId="137" applyNumberFormat="1" applyFont="1" applyBorder="1" applyAlignment="1">
      <alignment horizontal="center"/>
    </xf>
    <xf numFmtId="0" fontId="37" fillId="0" borderId="0" xfId="0" applyFont="1"/>
    <xf numFmtId="0" fontId="31" fillId="6" borderId="0" xfId="0" applyFont="1" applyFill="1" applyAlignment="1">
      <alignment horizontal="left"/>
    </xf>
    <xf numFmtId="0" fontId="31" fillId="6" borderId="0" xfId="0" applyFont="1" applyFill="1" applyAlignment="1">
      <alignment horizontal="center"/>
    </xf>
    <xf numFmtId="0" fontId="31" fillId="6" borderId="0" xfId="0" applyFont="1" applyFill="1"/>
    <xf numFmtId="0" fontId="35" fillId="2" borderId="1" xfId="0" applyFont="1" applyFill="1" applyBorder="1"/>
    <xf numFmtId="0" fontId="0" fillId="2" borderId="3" xfId="0" applyFill="1" applyBorder="1"/>
    <xf numFmtId="0" fontId="0" fillId="2" borderId="2" xfId="0" applyFill="1" applyBorder="1"/>
    <xf numFmtId="166" fontId="31" fillId="0" borderId="0" xfId="0" applyNumberFormat="1" applyFont="1" applyAlignment="1">
      <alignment horizontal="center"/>
    </xf>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40" fillId="0" borderId="0" xfId="137" applyFont="1"/>
    <xf numFmtId="166" fontId="31" fillId="0" borderId="0" xfId="0" applyNumberFormat="1" applyFont="1"/>
    <xf numFmtId="0" fontId="40" fillId="0" borderId="0" xfId="0" applyFont="1"/>
    <xf numFmtId="0" fontId="25" fillId="0" borderId="0" xfId="137"/>
    <xf numFmtId="0" fontId="31" fillId="5" borderId="0" xfId="0" applyFont="1" applyFill="1"/>
    <xf numFmtId="0" fontId="31" fillId="5" borderId="0" xfId="0" applyFont="1" applyFill="1" applyAlignment="1">
      <alignment horizontal="center"/>
    </xf>
    <xf numFmtId="0" fontId="31" fillId="7" borderId="0" xfId="0" applyFont="1" applyFill="1"/>
    <xf numFmtId="0" fontId="31" fillId="7" borderId="0" xfId="0" applyFont="1" applyFill="1" applyAlignment="1">
      <alignment horizontal="center"/>
    </xf>
    <xf numFmtId="0" fontId="0" fillId="7" borderId="0" xfId="0" applyFill="1"/>
    <xf numFmtId="0" fontId="31" fillId="4" borderId="0" xfId="0" applyFont="1" applyFill="1"/>
    <xf numFmtId="0" fontId="31" fillId="4" borderId="0" xfId="0" applyFont="1" applyFill="1" applyAlignment="1">
      <alignment horizontal="center"/>
    </xf>
    <xf numFmtId="0" fontId="31" fillId="0" borderId="0" xfId="0" applyFont="1" applyFill="1" applyAlignment="1">
      <alignment horizontal="center"/>
    </xf>
    <xf numFmtId="0" fontId="37" fillId="6" borderId="0" xfId="0" applyFont="1" applyFill="1" applyAlignment="1">
      <alignment horizontal="left"/>
    </xf>
    <xf numFmtId="0" fontId="37" fillId="6" borderId="0" xfId="0" applyFont="1" applyFill="1" applyAlignment="1">
      <alignment horizontal="center"/>
    </xf>
    <xf numFmtId="0" fontId="32" fillId="5" borderId="0" xfId="0" applyFont="1" applyFill="1"/>
    <xf numFmtId="0" fontId="29" fillId="5" borderId="0" xfId="0" applyFont="1" applyFill="1"/>
    <xf numFmtId="0" fontId="0" fillId="5" borderId="0" xfId="0" applyFill="1"/>
    <xf numFmtId="0" fontId="42" fillId="5" borderId="0" xfId="0" applyFont="1" applyFill="1"/>
    <xf numFmtId="0" fontId="35" fillId="5" borderId="10" xfId="0" applyFont="1" applyFill="1" applyBorder="1"/>
    <xf numFmtId="0" fontId="36" fillId="5" borderId="12" xfId="0" applyFont="1" applyFill="1" applyBorder="1"/>
    <xf numFmtId="0" fontId="37" fillId="5" borderId="14" xfId="0" applyFont="1" applyFill="1" applyBorder="1" applyAlignment="1">
      <alignment horizontal="center"/>
    </xf>
    <xf numFmtId="0" fontId="37" fillId="5" borderId="17" xfId="137" applyFont="1" applyFill="1" applyBorder="1" applyAlignment="1">
      <alignment horizontal="center"/>
    </xf>
    <xf numFmtId="0" fontId="43" fillId="0" borderId="0" xfId="0" applyFont="1"/>
    <xf numFmtId="0" fontId="31" fillId="0" borderId="0" xfId="0" applyFont="1" applyFill="1"/>
    <xf numFmtId="0" fontId="45" fillId="6" borderId="24" xfId="0" applyFont="1" applyFill="1" applyBorder="1" applyAlignment="1">
      <alignment horizontal="center"/>
    </xf>
    <xf numFmtId="0" fontId="37" fillId="6" borderId="26" xfId="0" applyFont="1" applyFill="1" applyBorder="1" applyAlignment="1">
      <alignment horizontal="center"/>
    </xf>
    <xf numFmtId="0" fontId="31" fillId="5" borderId="25" xfId="0" applyFont="1" applyFill="1" applyBorder="1" applyAlignment="1">
      <alignment horizontal="center"/>
    </xf>
    <xf numFmtId="0" fontId="44" fillId="6" borderId="24" xfId="0" applyFont="1" applyFill="1" applyBorder="1" applyAlignment="1">
      <alignment horizontal="center"/>
    </xf>
    <xf numFmtId="0" fontId="37" fillId="5" borderId="28" xfId="0" applyFont="1" applyFill="1" applyBorder="1"/>
    <xf numFmtId="0" fontId="37" fillId="5" borderId="39" xfId="0" applyFont="1" applyFill="1" applyBorder="1"/>
    <xf numFmtId="0" fontId="37" fillId="5" borderId="39" xfId="0" applyFont="1" applyFill="1" applyBorder="1" applyAlignment="1">
      <alignment horizontal="center"/>
    </xf>
    <xf numFmtId="0" fontId="37" fillId="5" borderId="33" xfId="0" applyFont="1" applyFill="1" applyBorder="1" applyAlignment="1">
      <alignment horizontal="center"/>
    </xf>
    <xf numFmtId="0" fontId="46" fillId="5" borderId="31" xfId="0" applyFont="1" applyFill="1" applyBorder="1" applyAlignment="1">
      <alignment horizontal="center"/>
    </xf>
    <xf numFmtId="0" fontId="46" fillId="5" borderId="27" xfId="0" applyFont="1" applyFill="1" applyBorder="1" applyAlignment="1">
      <alignment horizontal="center"/>
    </xf>
    <xf numFmtId="0" fontId="37" fillId="5" borderId="27" xfId="0" applyFont="1" applyFill="1" applyBorder="1"/>
    <xf numFmtId="0" fontId="37" fillId="5" borderId="32" xfId="0" applyFont="1" applyFill="1" applyBorder="1" applyAlignment="1">
      <alignment horizontal="center"/>
    </xf>
    <xf numFmtId="0" fontId="37" fillId="0" borderId="0" xfId="0" applyFont="1" applyFill="1" applyAlignment="1">
      <alignment horizontal="center"/>
    </xf>
    <xf numFmtId="0" fontId="37" fillId="5" borderId="29" xfId="0" applyFont="1" applyFill="1" applyBorder="1" applyAlignment="1">
      <alignment horizontal="center"/>
    </xf>
    <xf numFmtId="0" fontId="37" fillId="5" borderId="0" xfId="0" applyFont="1" applyFill="1" applyBorder="1" applyAlignment="1">
      <alignment horizontal="center"/>
    </xf>
    <xf numFmtId="0" fontId="37" fillId="5" borderId="30" xfId="0" applyFont="1" applyFill="1" applyBorder="1" applyAlignment="1">
      <alignment horizontal="center"/>
    </xf>
    <xf numFmtId="0" fontId="37" fillId="0" borderId="0" xfId="0" applyFont="1" applyFill="1"/>
    <xf numFmtId="0" fontId="45" fillId="0" borderId="0" xfId="0" applyFont="1" applyFill="1"/>
    <xf numFmtId="0" fontId="42" fillId="0" borderId="0" xfId="0" applyFont="1" applyFill="1"/>
    <xf numFmtId="0" fontId="29" fillId="0" borderId="0" xfId="0" applyFont="1" applyFill="1"/>
    <xf numFmtId="0" fontId="31" fillId="0" borderId="1" xfId="0" applyFont="1" applyBorder="1" applyAlignment="1">
      <alignment horizontal="left"/>
    </xf>
    <xf numFmtId="0" fontId="0" fillId="0" borderId="2" xfId="0" applyBorder="1"/>
    <xf numFmtId="0" fontId="31" fillId="0" borderId="40" xfId="0" applyFont="1" applyBorder="1"/>
    <xf numFmtId="0" fontId="0" fillId="0" borderId="35" xfId="0" applyBorder="1"/>
    <xf numFmtId="0" fontId="31" fillId="0" borderId="7" xfId="0" applyFont="1" applyBorder="1"/>
    <xf numFmtId="0" fontId="0" fillId="0" borderId="8" xfId="0" applyBorder="1"/>
    <xf numFmtId="0" fontId="0" fillId="0" borderId="9" xfId="0" applyBorder="1"/>
    <xf numFmtId="2" fontId="0" fillId="5" borderId="0" xfId="0" applyNumberFormat="1" applyFont="1" applyFill="1" applyAlignment="1">
      <alignment horizontal="center"/>
    </xf>
    <xf numFmtId="166" fontId="31" fillId="4" borderId="0" xfId="0" applyNumberFormat="1" applyFont="1" applyFill="1" applyAlignment="1">
      <alignment horizontal="center"/>
    </xf>
    <xf numFmtId="0" fontId="37" fillId="8" borderId="0" xfId="0" applyFont="1" applyFill="1" applyAlignment="1">
      <alignment horizontal="center"/>
    </xf>
    <xf numFmtId="2" fontId="0" fillId="7" borderId="0" xfId="0" applyNumberFormat="1" applyFont="1" applyFill="1" applyAlignment="1">
      <alignment horizontal="center"/>
    </xf>
    <xf numFmtId="166" fontId="31" fillId="7" borderId="25" xfId="0" applyNumberFormat="1" applyFont="1" applyFill="1" applyBorder="1" applyAlignment="1">
      <alignment horizontal="center"/>
    </xf>
    <xf numFmtId="2" fontId="28" fillId="7" borderId="36" xfId="0" applyNumberFormat="1" applyFont="1" applyFill="1" applyBorder="1" applyAlignment="1">
      <alignment horizontal="center"/>
    </xf>
    <xf numFmtId="2" fontId="28" fillId="7" borderId="37" xfId="0" applyNumberFormat="1" applyFont="1" applyFill="1" applyBorder="1" applyAlignment="1">
      <alignment horizontal="center"/>
    </xf>
    <xf numFmtId="0" fontId="28" fillId="7" borderId="38" xfId="0" applyFont="1" applyFill="1" applyBorder="1" applyAlignment="1">
      <alignment horizontal="center"/>
    </xf>
    <xf numFmtId="0" fontId="32" fillId="7" borderId="0" xfId="0" applyFont="1" applyFill="1"/>
    <xf numFmtId="0" fontId="42" fillId="7" borderId="0" xfId="0" applyFont="1" applyFill="1"/>
    <xf numFmtId="0" fontId="2" fillId="9" borderId="0" xfId="0" applyFont="1" applyFill="1"/>
    <xf numFmtId="0" fontId="2" fillId="4" borderId="0" xfId="0" applyFont="1" applyFill="1"/>
    <xf numFmtId="0" fontId="11" fillId="0" borderId="0" xfId="0" applyFont="1" applyAlignment="1">
      <alignment horizontal="center"/>
    </xf>
    <xf numFmtId="0" fontId="49" fillId="5" borderId="0" xfId="0" applyFont="1" applyFill="1" applyAlignment="1">
      <alignment horizontal="center"/>
    </xf>
    <xf numFmtId="0" fontId="49" fillId="5" borderId="16" xfId="0" applyFont="1" applyFill="1" applyBorder="1" applyAlignment="1">
      <alignment horizontal="center"/>
    </xf>
    <xf numFmtId="0" fontId="50" fillId="5" borderId="0" xfId="0" applyFont="1" applyFill="1" applyAlignment="1">
      <alignment horizontal="center"/>
    </xf>
    <xf numFmtId="0" fontId="50" fillId="5" borderId="27" xfId="0" applyFont="1" applyFill="1" applyBorder="1" applyAlignment="1">
      <alignment horizontal="center"/>
    </xf>
    <xf numFmtId="0" fontId="11" fillId="4" borderId="25" xfId="0" applyFont="1" applyFill="1" applyBorder="1" applyAlignment="1">
      <alignment horizontal="center"/>
    </xf>
    <xf numFmtId="0" fontId="50" fillId="5" borderId="16" xfId="0" applyFont="1" applyFill="1" applyBorder="1" applyAlignment="1">
      <alignment horizontal="center"/>
    </xf>
    <xf numFmtId="0" fontId="50" fillId="4" borderId="21" xfId="0" applyFont="1" applyFill="1" applyBorder="1" applyAlignment="1">
      <alignment horizontal="center"/>
    </xf>
    <xf numFmtId="0" fontId="50" fillId="4" borderId="22" xfId="0" applyFont="1" applyFill="1" applyBorder="1" applyAlignment="1">
      <alignment horizontal="center"/>
    </xf>
    <xf numFmtId="0" fontId="50" fillId="4" borderId="23" xfId="0" applyFont="1" applyFill="1" applyBorder="1" applyAlignment="1">
      <alignment horizontal="center"/>
    </xf>
    <xf numFmtId="0" fontId="50" fillId="4" borderId="0" xfId="0" applyFont="1" applyFill="1" applyAlignment="1">
      <alignment horizontal="center"/>
    </xf>
    <xf numFmtId="0" fontId="50" fillId="4" borderId="16" xfId="0" applyFont="1" applyFill="1" applyBorder="1" applyAlignment="1">
      <alignment horizontal="center"/>
    </xf>
    <xf numFmtId="0" fontId="51" fillId="10" borderId="41" xfId="0" applyFont="1" applyFill="1" applyBorder="1"/>
    <xf numFmtId="0" fontId="52" fillId="0" borderId="0" xfId="0" applyFont="1"/>
    <xf numFmtId="0" fontId="53" fillId="2" borderId="20" xfId="0" applyFont="1" applyFill="1" applyBorder="1" applyAlignment="1">
      <alignment horizontal="center"/>
    </xf>
    <xf numFmtId="16" fontId="8" fillId="0" borderId="0" xfId="0" applyNumberFormat="1" applyFont="1" applyFill="1"/>
    <xf numFmtId="0" fontId="12" fillId="2" borderId="16" xfId="0" applyFont="1" applyFill="1" applyBorder="1" applyAlignment="1">
      <alignment horizontal="left"/>
    </xf>
    <xf numFmtId="166" fontId="3" fillId="4" borderId="0" xfId="0" applyNumberFormat="1" applyFont="1" applyFill="1" applyAlignment="1">
      <alignment horizontal="center"/>
    </xf>
    <xf numFmtId="0" fontId="54" fillId="0" borderId="0" xfId="0" applyFont="1"/>
    <xf numFmtId="0" fontId="13" fillId="0" borderId="0" xfId="0" applyFont="1" applyFill="1" applyAlignment="1">
      <alignment horizontal="center"/>
    </xf>
    <xf numFmtId="0" fontId="8" fillId="0" borderId="5" xfId="0" applyFont="1" applyFill="1" applyBorder="1"/>
    <xf numFmtId="0" fontId="8" fillId="0" borderId="6" xfId="0" applyFont="1" applyFill="1" applyBorder="1"/>
    <xf numFmtId="2" fontId="8" fillId="0" borderId="0" xfId="0" applyNumberFormat="1" applyFont="1" applyFill="1"/>
    <xf numFmtId="0" fontId="55" fillId="10" borderId="41" xfId="0" applyFont="1" applyFill="1" applyBorder="1" applyAlignment="1">
      <alignment horizontal="center"/>
    </xf>
    <xf numFmtId="0" fontId="15" fillId="0" borderId="0" xfId="0" applyFont="1" applyAlignment="1">
      <alignment horizontal="center"/>
    </xf>
    <xf numFmtId="2" fontId="8" fillId="0" borderId="0" xfId="0" applyNumberFormat="1" applyFont="1" applyFill="1" applyAlignment="1">
      <alignment horizontal="center"/>
    </xf>
    <xf numFmtId="0" fontId="9" fillId="4" borderId="0" xfId="0" applyFont="1" applyFill="1" applyBorder="1" applyAlignment="1">
      <alignment horizontal="center"/>
    </xf>
    <xf numFmtId="0" fontId="28" fillId="0" borderId="0" xfId="0" applyFont="1" applyBorder="1"/>
    <xf numFmtId="2" fontId="22" fillId="0" borderId="0" xfId="0" applyNumberFormat="1" applyFont="1" applyFill="1" applyAlignment="1">
      <alignment horizontal="center" vertical="center"/>
    </xf>
    <xf numFmtId="0" fontId="28" fillId="9" borderId="10" xfId="0" applyFont="1" applyFill="1" applyBorder="1" applyAlignment="1">
      <alignment horizontal="center"/>
    </xf>
    <xf numFmtId="0" fontId="28" fillId="9" borderId="11" xfId="0" applyFont="1" applyFill="1" applyBorder="1" applyAlignment="1">
      <alignment horizontal="center"/>
    </xf>
    <xf numFmtId="0" fontId="28" fillId="9" borderId="12" xfId="0" applyFont="1" applyFill="1" applyBorder="1"/>
    <xf numFmtId="0" fontId="58" fillId="9" borderId="15" xfId="0" applyFont="1" applyFill="1" applyBorder="1" applyAlignment="1">
      <alignment horizontal="center"/>
    </xf>
    <xf numFmtId="0" fontId="28" fillId="9" borderId="16" xfId="0" applyFont="1" applyFill="1" applyBorder="1" applyAlignment="1">
      <alignment horizontal="center"/>
    </xf>
    <xf numFmtId="0" fontId="28" fillId="9" borderId="17" xfId="0" applyFont="1" applyFill="1" applyBorder="1"/>
    <xf numFmtId="0" fontId="55" fillId="0" borderId="0" xfId="0" applyFont="1" applyFill="1" applyBorder="1"/>
    <xf numFmtId="0" fontId="59" fillId="0" borderId="42" xfId="0" applyFont="1" applyFill="1" applyBorder="1" applyAlignment="1">
      <alignment horizontal="center"/>
    </xf>
    <xf numFmtId="0" fontId="59" fillId="0" borderId="16" xfId="0" applyFont="1" applyFill="1" applyBorder="1" applyAlignment="1">
      <alignment horizontal="center"/>
    </xf>
    <xf numFmtId="166" fontId="61" fillId="0" borderId="0" xfId="0" applyNumberFormat="1" applyFont="1" applyFill="1" applyAlignment="1">
      <alignment horizontal="center" vertical="center"/>
    </xf>
    <xf numFmtId="0" fontId="55" fillId="0" borderId="0" xfId="0" applyFont="1" applyFill="1" applyBorder="1" applyAlignment="1">
      <alignment horizontal="center"/>
    </xf>
    <xf numFmtId="0" fontId="49" fillId="4" borderId="41" xfId="0" applyFont="1" applyFill="1" applyBorder="1" applyAlignment="1">
      <alignment horizontal="center"/>
    </xf>
    <xf numFmtId="0" fontId="15" fillId="0" borderId="16" xfId="0" applyFont="1" applyBorder="1" applyAlignment="1">
      <alignment horizontal="center"/>
    </xf>
    <xf numFmtId="0" fontId="15" fillId="0" borderId="43" xfId="0" applyFont="1" applyBorder="1" applyAlignment="1">
      <alignment horizontal="center"/>
    </xf>
    <xf numFmtId="165" fontId="3" fillId="4" borderId="0" xfId="0" applyNumberFormat="1" applyFont="1" applyFill="1" applyAlignment="1">
      <alignment horizontal="center"/>
    </xf>
    <xf numFmtId="0" fontId="7" fillId="4" borderId="18" xfId="0" applyFont="1" applyFill="1" applyBorder="1" applyAlignment="1">
      <alignment horizontal="center"/>
    </xf>
    <xf numFmtId="0" fontId="7" fillId="4" borderId="44" xfId="0" applyFont="1" applyFill="1" applyBorder="1" applyAlignment="1">
      <alignment horizontal="center"/>
    </xf>
    <xf numFmtId="0" fontId="7" fillId="4" borderId="19" xfId="0" applyFont="1" applyFill="1" applyBorder="1" applyAlignment="1">
      <alignment horizontal="center"/>
    </xf>
    <xf numFmtId="0" fontId="50" fillId="0" borderId="0" xfId="0" applyFont="1" applyFill="1" applyBorder="1" applyAlignment="1">
      <alignment horizontal="center"/>
    </xf>
    <xf numFmtId="0" fontId="50" fillId="0" borderId="22" xfId="0" applyFont="1" applyFill="1" applyBorder="1" applyAlignment="1">
      <alignment horizontal="center"/>
    </xf>
    <xf numFmtId="0" fontId="64" fillId="0" borderId="0" xfId="0" applyFont="1" applyAlignment="1">
      <alignment horizontal="center"/>
    </xf>
    <xf numFmtId="0" fontId="70" fillId="0" borderId="0" xfId="0" applyFont="1"/>
    <xf numFmtId="0" fontId="69" fillId="0" borderId="0" xfId="0" applyFont="1"/>
    <xf numFmtId="0" fontId="69" fillId="0" borderId="39" xfId="0" applyFont="1" applyBorder="1"/>
    <xf numFmtId="0" fontId="0" fillId="0" borderId="39" xfId="0" applyBorder="1" applyAlignment="1">
      <alignment horizontal="center"/>
    </xf>
    <xf numFmtId="2" fontId="16" fillId="5" borderId="39" xfId="0" applyNumberFormat="1" applyFont="1" applyFill="1" applyBorder="1" applyAlignment="1">
      <alignment horizontal="center" vertical="center"/>
    </xf>
    <xf numFmtId="2" fontId="0" fillId="0" borderId="39" xfId="0" applyNumberFormat="1" applyFont="1" applyBorder="1" applyAlignment="1">
      <alignment horizontal="center"/>
    </xf>
    <xf numFmtId="2" fontId="0" fillId="0" borderId="39" xfId="0" applyNumberFormat="1" applyFont="1" applyBorder="1" applyAlignment="1">
      <alignment horizontal="center" vertical="center"/>
    </xf>
    <xf numFmtId="0" fontId="0" fillId="5" borderId="39" xfId="0" applyFill="1" applyBorder="1" applyAlignment="1">
      <alignment horizontal="center"/>
    </xf>
    <xf numFmtId="2" fontId="3" fillId="0" borderId="39" xfId="0" applyNumberFormat="1" applyFont="1" applyFill="1" applyBorder="1" applyAlignment="1">
      <alignment horizontal="center"/>
    </xf>
    <xf numFmtId="2" fontId="27" fillId="4" borderId="39" xfId="0" applyNumberFormat="1" applyFont="1" applyFill="1" applyBorder="1" applyAlignment="1">
      <alignment horizontal="center"/>
    </xf>
    <xf numFmtId="1" fontId="27" fillId="4" borderId="39" xfId="0" applyNumberFormat="1" applyFont="1" applyFill="1" applyBorder="1" applyAlignment="1">
      <alignment horizontal="center"/>
    </xf>
    <xf numFmtId="1" fontId="22" fillId="0" borderId="39" xfId="0" applyNumberFormat="1" applyFont="1" applyFill="1" applyBorder="1" applyAlignment="1">
      <alignment horizontal="center" vertical="center"/>
    </xf>
    <xf numFmtId="1" fontId="26" fillId="4" borderId="39" xfId="0" applyNumberFormat="1" applyFont="1" applyFill="1" applyBorder="1" applyAlignment="1">
      <alignment horizontal="center" vertical="center"/>
    </xf>
    <xf numFmtId="0" fontId="3" fillId="0" borderId="39" xfId="0" applyFont="1" applyFill="1" applyBorder="1" applyAlignment="1">
      <alignment horizontal="center"/>
    </xf>
    <xf numFmtId="2" fontId="22" fillId="0" borderId="39" xfId="0" applyNumberFormat="1" applyFont="1" applyFill="1" applyBorder="1" applyAlignment="1">
      <alignment horizontal="center" vertical="center"/>
    </xf>
    <xf numFmtId="0" fontId="3" fillId="0" borderId="39" xfId="0" applyFont="1" applyFill="1" applyBorder="1"/>
    <xf numFmtId="2" fontId="16" fillId="0" borderId="39" xfId="0" applyNumberFormat="1" applyFont="1" applyFill="1" applyBorder="1" applyAlignment="1">
      <alignment horizontal="center" vertical="center"/>
    </xf>
    <xf numFmtId="164" fontId="16" fillId="0" borderId="39" xfId="0" applyNumberFormat="1" applyFont="1" applyFill="1" applyBorder="1" applyAlignment="1">
      <alignment horizontal="center" vertical="center"/>
    </xf>
    <xf numFmtId="0" fontId="25" fillId="4" borderId="39" xfId="0" applyFont="1" applyFill="1" applyBorder="1" applyAlignment="1">
      <alignment horizontal="center"/>
    </xf>
    <xf numFmtId="2" fontId="3" fillId="4" borderId="39" xfId="0" applyNumberFormat="1" applyFont="1" applyFill="1" applyBorder="1" applyAlignment="1">
      <alignment horizontal="center"/>
    </xf>
    <xf numFmtId="164" fontId="3" fillId="4" borderId="39" xfId="0" applyNumberFormat="1" applyFont="1" applyFill="1" applyBorder="1" applyAlignment="1">
      <alignment horizontal="center"/>
    </xf>
    <xf numFmtId="1" fontId="3" fillId="4" borderId="39" xfId="0" applyNumberFormat="1" applyFont="1" applyFill="1" applyBorder="1" applyAlignment="1">
      <alignment horizontal="center"/>
    </xf>
    <xf numFmtId="1" fontId="3" fillId="0" borderId="39" xfId="0" applyNumberFormat="1" applyFont="1" applyFill="1" applyBorder="1" applyAlignment="1">
      <alignment horizontal="center"/>
    </xf>
    <xf numFmtId="0" fontId="0" fillId="0" borderId="39" xfId="0" applyBorder="1"/>
    <xf numFmtId="166" fontId="3" fillId="4" borderId="39" xfId="0" applyNumberFormat="1" applyFont="1" applyFill="1" applyBorder="1" applyAlignment="1">
      <alignment horizontal="center"/>
    </xf>
    <xf numFmtId="0" fontId="7" fillId="0" borderId="39" xfId="0" applyFont="1" applyFill="1" applyBorder="1"/>
    <xf numFmtId="0" fontId="8" fillId="0" borderId="39" xfId="0" applyFont="1" applyFill="1" applyBorder="1"/>
    <xf numFmtId="0" fontId="71" fillId="0" borderId="0" xfId="0" applyFont="1" applyAlignment="1">
      <alignment horizontal="center"/>
    </xf>
    <xf numFmtId="166" fontId="71" fillId="0" borderId="0" xfId="0" applyNumberFormat="1" applyFont="1" applyAlignment="1">
      <alignment horizontal="center"/>
    </xf>
    <xf numFmtId="166" fontId="70" fillId="0" borderId="0" xfId="0" applyNumberFormat="1" applyFont="1" applyAlignment="1">
      <alignment horizontal="center"/>
    </xf>
    <xf numFmtId="166" fontId="69" fillId="0" borderId="0" xfId="0" applyNumberFormat="1" applyFont="1" applyAlignment="1">
      <alignment horizontal="center"/>
    </xf>
    <xf numFmtId="166" fontId="31" fillId="0" borderId="8" xfId="0" applyNumberFormat="1" applyFont="1" applyBorder="1" applyAlignment="1">
      <alignment horizontal="center"/>
    </xf>
    <xf numFmtId="166" fontId="70" fillId="0" borderId="8" xfId="0" applyNumberFormat="1" applyFont="1" applyBorder="1" applyAlignment="1">
      <alignment horizontal="center"/>
    </xf>
    <xf numFmtId="2" fontId="0" fillId="5" borderId="0" xfId="0" applyNumberFormat="1" applyFill="1" applyBorder="1" applyAlignment="1">
      <alignment horizontal="center"/>
    </xf>
    <xf numFmtId="0" fontId="72" fillId="0" borderId="0" xfId="0" applyFont="1" applyAlignment="1">
      <alignment horizontal="center"/>
    </xf>
    <xf numFmtId="0" fontId="0" fillId="11" borderId="0" xfId="0" applyFont="1" applyFill="1" applyBorder="1"/>
    <xf numFmtId="0" fontId="0" fillId="11" borderId="0" xfId="0" applyFill="1" applyBorder="1" applyAlignment="1">
      <alignment horizontal="center"/>
    </xf>
    <xf numFmtId="2" fontId="16" fillId="11" borderId="0" xfId="0" applyNumberFormat="1" applyFont="1" applyFill="1" applyBorder="1" applyAlignment="1">
      <alignment horizontal="center" vertical="center"/>
    </xf>
    <xf numFmtId="2" fontId="0" fillId="11" borderId="0" xfId="0" applyNumberFormat="1" applyFont="1" applyFill="1" applyBorder="1" applyAlignment="1">
      <alignment horizontal="center"/>
    </xf>
    <xf numFmtId="2" fontId="0" fillId="11" borderId="0" xfId="0" applyNumberFormat="1" applyFont="1" applyFill="1" applyBorder="1" applyAlignment="1">
      <alignment horizontal="center" vertical="center"/>
    </xf>
    <xf numFmtId="2" fontId="3" fillId="11" borderId="0" xfId="0" applyNumberFormat="1" applyFont="1" applyFill="1" applyBorder="1" applyAlignment="1">
      <alignment horizontal="center"/>
    </xf>
    <xf numFmtId="2" fontId="27" fillId="11" borderId="0" xfId="0" applyNumberFormat="1" applyFont="1" applyFill="1" applyBorder="1" applyAlignment="1">
      <alignment horizontal="center"/>
    </xf>
    <xf numFmtId="2" fontId="27" fillId="11" borderId="0" xfId="0" applyNumberFormat="1" applyFont="1" applyFill="1" applyAlignment="1">
      <alignment horizontal="center"/>
    </xf>
    <xf numFmtId="1" fontId="27" fillId="11" borderId="0" xfId="0" applyNumberFormat="1" applyFont="1" applyFill="1" applyBorder="1" applyAlignment="1">
      <alignment horizontal="center"/>
    </xf>
    <xf numFmtId="1" fontId="27" fillId="11" borderId="0" xfId="0" applyNumberFormat="1" applyFont="1" applyFill="1" applyAlignment="1">
      <alignment horizontal="center"/>
    </xf>
    <xf numFmtId="1" fontId="22" fillId="11" borderId="0" xfId="0" applyNumberFormat="1" applyFont="1" applyFill="1" applyBorder="1" applyAlignment="1">
      <alignment horizontal="center" vertical="center"/>
    </xf>
    <xf numFmtId="1" fontId="26" fillId="11" borderId="0" xfId="0" applyNumberFormat="1" applyFont="1" applyFill="1" applyAlignment="1">
      <alignment horizontal="center" vertical="center"/>
    </xf>
    <xf numFmtId="0" fontId="3" fillId="11" borderId="0" xfId="0" applyFont="1" applyFill="1" applyAlignment="1">
      <alignment horizontal="center"/>
    </xf>
    <xf numFmtId="2" fontId="22" fillId="11" borderId="0" xfId="0" applyNumberFormat="1" applyFont="1" applyFill="1" applyAlignment="1">
      <alignment horizontal="center" vertical="center"/>
    </xf>
    <xf numFmtId="2" fontId="3" fillId="11" borderId="0" xfId="0" applyNumberFormat="1" applyFont="1" applyFill="1" applyAlignment="1">
      <alignment horizontal="center"/>
    </xf>
    <xf numFmtId="0" fontId="3" fillId="11" borderId="0" xfId="0" applyFont="1" applyFill="1"/>
    <xf numFmtId="164" fontId="16" fillId="11" borderId="0" xfId="0" applyNumberFormat="1" applyFont="1" applyFill="1" applyAlignment="1">
      <alignment horizontal="center" vertical="center"/>
    </xf>
    <xf numFmtId="0" fontId="25" fillId="11" borderId="0" xfId="0" applyFont="1" applyFill="1" applyBorder="1" applyAlignment="1">
      <alignment horizontal="center"/>
    </xf>
    <xf numFmtId="0" fontId="3" fillId="11" borderId="0" xfId="0" applyFont="1" applyFill="1" applyBorder="1"/>
    <xf numFmtId="164" fontId="3" fillId="11" borderId="0" xfId="0" applyNumberFormat="1" applyFont="1" applyFill="1" applyBorder="1" applyAlignment="1">
      <alignment horizontal="center"/>
    </xf>
    <xf numFmtId="1" fontId="3" fillId="11" borderId="0" xfId="0" applyNumberFormat="1" applyFont="1" applyFill="1" applyBorder="1" applyAlignment="1">
      <alignment horizontal="center"/>
    </xf>
    <xf numFmtId="0" fontId="0" fillId="11" borderId="0" xfId="0" applyFill="1"/>
    <xf numFmtId="1" fontId="3" fillId="11" borderId="0" xfId="0" applyNumberFormat="1" applyFont="1" applyFill="1" applyAlignment="1">
      <alignment horizontal="center"/>
    </xf>
    <xf numFmtId="166" fontId="3" fillId="11" borderId="0" xfId="0" applyNumberFormat="1" applyFont="1" applyFill="1" applyAlignment="1">
      <alignment horizontal="center"/>
    </xf>
    <xf numFmtId="0" fontId="0" fillId="11" borderId="0" xfId="0" applyFill="1" applyBorder="1"/>
    <xf numFmtId="0" fontId="7" fillId="11" borderId="0" xfId="0" applyFont="1" applyFill="1" applyBorder="1"/>
    <xf numFmtId="0" fontId="8" fillId="11" borderId="0" xfId="0" applyFont="1" applyFill="1"/>
    <xf numFmtId="2" fontId="0" fillId="11" borderId="0" xfId="0" applyNumberFormat="1" applyFill="1" applyAlignment="1">
      <alignment horizontal="center"/>
    </xf>
    <xf numFmtId="0" fontId="0" fillId="11" borderId="0" xfId="0" applyFill="1" applyAlignment="1">
      <alignment horizontal="center"/>
    </xf>
  </cellXfs>
  <cellStyles count="2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Normal" xfId="0" builtinId="0"/>
    <cellStyle name="Normal_Ol-liq Mg# calcs.xls" xfId="13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2245895411999"/>
          <c:y val="3.9214808018933699E-2"/>
          <c:w val="0.81616161616161598"/>
          <c:h val="0.82135076252723305"/>
        </c:manualLayout>
      </c:layout>
      <c:scatterChart>
        <c:scatterStyle val="lineMarker"/>
        <c:varyColors val="0"/>
        <c:ser>
          <c:idx val="2"/>
          <c:order val="0"/>
          <c:spPr>
            <a:ln w="12700" cmpd="sng">
              <a:solidFill>
                <a:schemeClr val="tx1"/>
              </a:solidFill>
              <a:prstDash val="dash"/>
            </a:ln>
          </c:spPr>
          <c:marker>
            <c:symbol val="none"/>
          </c:marker>
          <c:xVal>
            <c:numRef>
              <c:f>'Rhodes Diag Calcs'!$H$10:$H$41</c:f>
              <c:numCache>
                <c:formatCode>General</c:formatCode>
                <c:ptCount val="32"/>
                <c:pt idx="0">
                  <c:v>0</c:v>
                </c:pt>
                <c:pt idx="1">
                  <c:v>3.0067895247332692</c:v>
                </c:pt>
                <c:pt idx="2">
                  <c:v>5.8380414312617708</c:v>
                </c:pt>
                <c:pt idx="3">
                  <c:v>8.5086916742909438</c:v>
                </c:pt>
                <c:pt idx="4">
                  <c:v>11.032028469750891</c:v>
                </c:pt>
                <c:pt idx="5">
                  <c:v>13.419913419913422</c:v>
                </c:pt>
                <c:pt idx="6">
                  <c:v>15.682967959527826</c:v>
                </c:pt>
                <c:pt idx="7">
                  <c:v>17.830731306491373</c:v>
                </c:pt>
                <c:pt idx="8">
                  <c:v>19.871794871794876</c:v>
                </c:pt>
                <c:pt idx="9">
                  <c:v>21.813917122752155</c:v>
                </c:pt>
                <c:pt idx="10">
                  <c:v>23.664122137404586</c:v>
                </c:pt>
                <c:pt idx="11">
                  <c:v>25.428784489187176</c:v>
                </c:pt>
                <c:pt idx="12">
                  <c:v>27.113702623906704</c:v>
                </c:pt>
                <c:pt idx="13">
                  <c:v>28.724162508909487</c:v>
                </c:pt>
                <c:pt idx="14">
                  <c:v>30.264993026499305</c:v>
                </c:pt>
                <c:pt idx="15">
                  <c:v>31.740614334470994</c:v>
                </c:pt>
                <c:pt idx="16">
                  <c:v>33.155080213903751</c:v>
                </c:pt>
                <c:pt idx="17">
                  <c:v>34.512115258677142</c:v>
                </c:pt>
                <c:pt idx="18">
                  <c:v>40.54696789536267</c:v>
                </c:pt>
                <c:pt idx="19">
                  <c:v>45.563418617310838</c:v>
                </c:pt>
                <c:pt idx="20">
                  <c:v>49.799196787148595</c:v>
                </c:pt>
                <c:pt idx="21">
                  <c:v>53.423381462505823</c:v>
                </c:pt>
                <c:pt idx="22">
                  <c:v>56.559513466550818</c:v>
                </c:pt>
                <c:pt idx="23">
                  <c:v>61.715160796324668</c:v>
                </c:pt>
                <c:pt idx="24">
                  <c:v>65.776865160848729</c:v>
                </c:pt>
                <c:pt idx="25">
                  <c:v>69.059405940594075</c:v>
                </c:pt>
                <c:pt idx="26">
                  <c:v>75.609756097560975</c:v>
                </c:pt>
                <c:pt idx="27">
                  <c:v>86.111111111111114</c:v>
                </c:pt>
                <c:pt idx="28">
                  <c:v>92.537313432835816</c:v>
                </c:pt>
                <c:pt idx="29">
                  <c:v>96.124031007751938</c:v>
                </c:pt>
                <c:pt idx="30">
                  <c:v>98.412698412698418</c:v>
                </c:pt>
                <c:pt idx="31">
                  <c:v>99.678456591639872</c:v>
                </c:pt>
              </c:numCache>
            </c:numRef>
          </c:xVal>
          <c:yVal>
            <c:numRef>
              <c:f>'Rhodes Diag Calcs'!$I$10:$I$41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0-1B05-3348-A23D-B6C7F287D9DC}"/>
            </c:ext>
          </c:extLst>
        </c:ser>
        <c:ser>
          <c:idx val="0"/>
          <c:order val="1"/>
          <c:spPr>
            <a:ln w="12700">
              <a:solidFill>
                <a:schemeClr val="tx1"/>
              </a:solidFill>
            </a:ln>
          </c:spPr>
          <c:marker>
            <c:symbol val="none"/>
          </c:marker>
          <c:xVal>
            <c:numRef>
              <c:f>'Rhodes Diag Calcs'!$C$10:$C$41</c:f>
              <c:numCache>
                <c:formatCode>General</c:formatCode>
                <c:ptCount val="32"/>
                <c:pt idx="0">
                  <c:v>0</c:v>
                </c:pt>
                <c:pt idx="1">
                  <c:v>3.2882011605415862</c:v>
                </c:pt>
                <c:pt idx="2">
                  <c:v>6.3670411985018731</c:v>
                </c:pt>
                <c:pt idx="3">
                  <c:v>9.2558983666061714</c:v>
                </c:pt>
                <c:pt idx="4">
                  <c:v>11.971830985915492</c:v>
                </c:pt>
                <c:pt idx="5">
                  <c:v>14.529914529914532</c:v>
                </c:pt>
                <c:pt idx="6">
                  <c:v>16.943521594684388</c:v>
                </c:pt>
                <c:pt idx="7">
                  <c:v>19.224555735056541</c:v>
                </c:pt>
                <c:pt idx="8">
                  <c:v>21.383647798742139</c:v>
                </c:pt>
                <c:pt idx="9">
                  <c:v>23.430321592649314</c:v>
                </c:pt>
                <c:pt idx="10">
                  <c:v>25.373134328358208</c:v>
                </c:pt>
                <c:pt idx="11">
                  <c:v>27.219796215429405</c:v>
                </c:pt>
                <c:pt idx="12">
                  <c:v>28.977272727272734</c:v>
                </c:pt>
                <c:pt idx="13">
                  <c:v>30.651872399445214</c:v>
                </c:pt>
                <c:pt idx="14">
                  <c:v>32.24932249322493</c:v>
                </c:pt>
                <c:pt idx="15">
                  <c:v>33.774834437086092</c:v>
                </c:pt>
                <c:pt idx="16">
                  <c:v>35.233160621761662</c:v>
                </c:pt>
                <c:pt idx="17">
                  <c:v>36.628643852978456</c:v>
                </c:pt>
                <c:pt idx="18">
                  <c:v>42.791762013729979</c:v>
                </c:pt>
                <c:pt idx="19">
                  <c:v>47.862356621480714</c:v>
                </c:pt>
                <c:pt idx="20">
                  <c:v>52.107279693486596</c:v>
                </c:pt>
                <c:pt idx="21">
                  <c:v>55.713020372010639</c:v>
                </c:pt>
                <c:pt idx="22">
                  <c:v>58.813838550247127</c:v>
                </c:pt>
                <c:pt idx="23">
                  <c:v>63.872832369942195</c:v>
                </c:pt>
                <c:pt idx="24">
                  <c:v>67.824967824967828</c:v>
                </c:pt>
                <c:pt idx="25">
                  <c:v>70.997679814385151</c:v>
                </c:pt>
                <c:pt idx="26">
                  <c:v>77.27272727272728</c:v>
                </c:pt>
                <c:pt idx="27">
                  <c:v>87.179487179487182</c:v>
                </c:pt>
                <c:pt idx="28">
                  <c:v>93.150684931506859</c:v>
                </c:pt>
                <c:pt idx="29">
                  <c:v>96.453900709219866</c:v>
                </c:pt>
                <c:pt idx="30">
                  <c:v>98.550724637681157</c:v>
                </c:pt>
                <c:pt idx="31">
                  <c:v>99.706744868035187</c:v>
                </c:pt>
              </c:numCache>
            </c:numRef>
          </c:xVal>
          <c:yVal>
            <c:numRef>
              <c:f>'Rhodes Diag Calcs'!$D$10:$D$41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1-1B05-3348-A23D-B6C7F287D9DC}"/>
            </c:ext>
          </c:extLst>
        </c:ser>
        <c:ser>
          <c:idx val="1"/>
          <c:order val="2"/>
          <c:spPr>
            <a:ln w="12700" cmpd="sng">
              <a:solidFill>
                <a:schemeClr val="tx1"/>
              </a:solidFill>
              <a:prstDash val="dash"/>
            </a:ln>
          </c:spPr>
          <c:marker>
            <c:symbol val="none"/>
          </c:marker>
          <c:xVal>
            <c:numRef>
              <c:f>'Rhodes Diag Calcs'!$M$10:$M$41</c:f>
              <c:numCache>
                <c:formatCode>General</c:formatCode>
                <c:ptCount val="32"/>
                <c:pt idx="0">
                  <c:v>0</c:v>
                </c:pt>
                <c:pt idx="1">
                  <c:v>3.5679845708775315</c:v>
                </c:pt>
                <c:pt idx="2">
                  <c:v>6.8901303538175034</c:v>
                </c:pt>
                <c:pt idx="3">
                  <c:v>9.99099909990999</c:v>
                </c:pt>
                <c:pt idx="4">
                  <c:v>12.89198606271777</c:v>
                </c:pt>
                <c:pt idx="5">
                  <c:v>15.61181434599156</c:v>
                </c:pt>
                <c:pt idx="6">
                  <c:v>18.166939443535188</c:v>
                </c:pt>
                <c:pt idx="7">
                  <c:v>20.571882446386024</c:v>
                </c:pt>
                <c:pt idx="8">
                  <c:v>22.839506172839503</c:v>
                </c:pt>
                <c:pt idx="9">
                  <c:v>24.981245311327836</c:v>
                </c:pt>
                <c:pt idx="10">
                  <c:v>27.007299270072991</c:v>
                </c:pt>
                <c:pt idx="11">
                  <c:v>28.926794598436391</c:v>
                </c:pt>
                <c:pt idx="12">
                  <c:v>30.747922437673129</c:v>
                </c:pt>
                <c:pt idx="13">
                  <c:v>32.4780553679946</c:v>
                </c:pt>
                <c:pt idx="14">
                  <c:v>34.12384716732543</c:v>
                </c:pt>
                <c:pt idx="15">
                  <c:v>35.691318327974273</c:v>
                </c:pt>
                <c:pt idx="16">
                  <c:v>37.185929648241199</c:v>
                </c:pt>
                <c:pt idx="17">
                  <c:v>38.612645794966234</c:v>
                </c:pt>
                <c:pt idx="18">
                  <c:v>44.873208379272327</c:v>
                </c:pt>
                <c:pt idx="19">
                  <c:v>49.974987493746873</c:v>
                </c:pt>
                <c:pt idx="20">
                  <c:v>54.212454212454205</c:v>
                </c:pt>
                <c:pt idx="21">
                  <c:v>57.788096243140572</c:v>
                </c:pt>
                <c:pt idx="22">
                  <c:v>60.845732184808142</c:v>
                </c:pt>
                <c:pt idx="23">
                  <c:v>65.800273597811227</c:v>
                </c:pt>
                <c:pt idx="24">
                  <c:v>69.641772920461449</c:v>
                </c:pt>
                <c:pt idx="25">
                  <c:v>72.707423580786028</c:v>
                </c:pt>
                <c:pt idx="26">
                  <c:v>78.723404255319153</c:v>
                </c:pt>
                <c:pt idx="27">
                  <c:v>88.095238095238088</c:v>
                </c:pt>
                <c:pt idx="28">
                  <c:v>93.670886075949369</c:v>
                </c:pt>
                <c:pt idx="29">
                  <c:v>96.732026143790847</c:v>
                </c:pt>
                <c:pt idx="30">
                  <c:v>98.666666666666671</c:v>
                </c:pt>
                <c:pt idx="31">
                  <c:v>99.730458221024264</c:v>
                </c:pt>
              </c:numCache>
            </c:numRef>
          </c:xVal>
          <c:yVal>
            <c:numRef>
              <c:f>'Rhodes Diag Calcs'!$N$10:$N$41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2-1B05-3348-A23D-B6C7F287D9DC}"/>
            </c:ext>
          </c:extLst>
        </c:ser>
        <c:ser>
          <c:idx val="3"/>
          <c:order val="3"/>
          <c:spPr>
            <a:ln>
              <a:noFill/>
            </a:ln>
          </c:spPr>
          <c:marker>
            <c:symbol val="circle"/>
            <c:size val="11"/>
            <c:spPr>
              <a:ln>
                <a:solidFill>
                  <a:schemeClr val="tx1"/>
                </a:solidFill>
              </a:ln>
            </c:spPr>
          </c:marker>
          <c:xVal>
            <c:numRef>
              <c:f>'Calc P iterative'!$AS$8:$AS$40</c:f>
              <c:numCache>
                <c:formatCode>0.00</c:formatCode>
                <c:ptCount val="33"/>
                <c:pt idx="0">
                  <c:v>80.375476077433277</c:v>
                </c:pt>
                <c:pt idx="1">
                  <c:v>79.520979374288927</c:v>
                </c:pt>
                <c:pt idx="2">
                  <c:v>80.924009463304031</c:v>
                </c:pt>
                <c:pt idx="3">
                  <c:v>79.756298576541482</c:v>
                </c:pt>
                <c:pt idx="4">
                  <c:v>80.427206825612501</c:v>
                </c:pt>
                <c:pt idx="5">
                  <c:v>78.654491189461396</c:v>
                </c:pt>
                <c:pt idx="6">
                  <c:v>80.206030688562961</c:v>
                </c:pt>
                <c:pt idx="7">
                  <c:v>79.104481645742311</c:v>
                </c:pt>
                <c:pt idx="8">
                  <c:v>80.295986588350431</c:v>
                </c:pt>
                <c:pt idx="9">
                  <c:v>79.286459246461177</c:v>
                </c:pt>
                <c:pt idx="10">
                  <c:v>83.964899437078103</c:v>
                </c:pt>
                <c:pt idx="11">
                  <c:v>80.934336771986068</c:v>
                </c:pt>
                <c:pt idx="12">
                  <c:v>79.390235276135385</c:v>
                </c:pt>
                <c:pt idx="13">
                  <c:v>79.407179248582693</c:v>
                </c:pt>
                <c:pt idx="14">
                  <c:v>78.275076731389063</c:v>
                </c:pt>
                <c:pt idx="15">
                  <c:v>79.053640818943961</c:v>
                </c:pt>
                <c:pt idx="16">
                  <c:v>78.679217516683437</c:v>
                </c:pt>
                <c:pt idx="17">
                  <c:v>78.281907595453603</c:v>
                </c:pt>
                <c:pt idx="18">
                  <c:v>73.966588120589023</c:v>
                </c:pt>
                <c:pt idx="19">
                  <c:v>78.811420383176355</c:v>
                </c:pt>
                <c:pt idx="20">
                  <c:v>84.182945766845592</c:v>
                </c:pt>
                <c:pt idx="21">
                  <c:v>83.922469784753687</c:v>
                </c:pt>
                <c:pt idx="22">
                  <c:v>83.850433831686971</c:v>
                </c:pt>
                <c:pt idx="23">
                  <c:v>83.703387442705207</c:v>
                </c:pt>
                <c:pt idx="24">
                  <c:v>83.335223365858312</c:v>
                </c:pt>
                <c:pt idx="25">
                  <c:v>79.744970638077689</c:v>
                </c:pt>
                <c:pt idx="26">
                  <c:v>78.805997512889959</c:v>
                </c:pt>
                <c:pt idx="27">
                  <c:v>88.62307646414817</c:v>
                </c:pt>
                <c:pt idx="28">
                  <c:v>84.511233270936955</c:v>
                </c:pt>
                <c:pt idx="29">
                  <c:v>78.31043779232715</c:v>
                </c:pt>
                <c:pt idx="30">
                  <c:v>80.180619418060132</c:v>
                </c:pt>
                <c:pt idx="31">
                  <c:v>84.511233270936955</c:v>
                </c:pt>
                <c:pt idx="32">
                  <c:v>84.511233270936955</c:v>
                </c:pt>
              </c:numCache>
            </c:numRef>
          </c:xVal>
          <c:yVal>
            <c:numRef>
              <c:f>'Calc P iterative'!$AT$8:$AT$40</c:f>
              <c:numCache>
                <c:formatCode>0.00</c:formatCode>
                <c:ptCount val="33"/>
                <c:pt idx="0">
                  <c:v>92.216628623441792</c:v>
                </c:pt>
                <c:pt idx="1">
                  <c:v>91.843254085785105</c:v>
                </c:pt>
                <c:pt idx="2">
                  <c:v>92.422017686283795</c:v>
                </c:pt>
                <c:pt idx="3">
                  <c:v>91.94358767565862</c:v>
                </c:pt>
                <c:pt idx="4">
                  <c:v>92.213387061314066</c:v>
                </c:pt>
                <c:pt idx="5">
                  <c:v>91.491920348296858</c:v>
                </c:pt>
                <c:pt idx="6">
                  <c:v>92.119638916792596</c:v>
                </c:pt>
                <c:pt idx="7">
                  <c:v>91.657559121622285</c:v>
                </c:pt>
                <c:pt idx="8">
                  <c:v>92.161547145070955</c:v>
                </c:pt>
                <c:pt idx="9">
                  <c:v>91.718026225081601</c:v>
                </c:pt>
                <c:pt idx="10">
                  <c:v>93.702248927059884</c:v>
                </c:pt>
                <c:pt idx="11">
                  <c:v>92.351861872183932</c:v>
                </c:pt>
                <c:pt idx="12">
                  <c:v>91.772311142321456</c:v>
                </c:pt>
                <c:pt idx="13">
                  <c:v>91.830455587428361</c:v>
                </c:pt>
                <c:pt idx="14">
                  <c:v>91.339986736555943</c:v>
                </c:pt>
                <c:pt idx="15">
                  <c:v>91.674883310770156</c:v>
                </c:pt>
                <c:pt idx="16">
                  <c:v>91.50887102115459</c:v>
                </c:pt>
                <c:pt idx="17">
                  <c:v>91.331311111662515</c:v>
                </c:pt>
                <c:pt idx="18">
                  <c:v>89.274470928943515</c:v>
                </c:pt>
                <c:pt idx="19">
                  <c:v>91.537774692779664</c:v>
                </c:pt>
                <c:pt idx="20">
                  <c:v>93.691798801940436</c:v>
                </c:pt>
                <c:pt idx="21">
                  <c:v>93.579987135074219</c:v>
                </c:pt>
                <c:pt idx="22">
                  <c:v>93.552769636710366</c:v>
                </c:pt>
                <c:pt idx="23">
                  <c:v>93.491768829462274</c:v>
                </c:pt>
                <c:pt idx="24">
                  <c:v>93.35775426522008</c:v>
                </c:pt>
                <c:pt idx="25">
                  <c:v>91.921738470841078</c:v>
                </c:pt>
                <c:pt idx="26">
                  <c:v>91.47505268310212</c:v>
                </c:pt>
                <c:pt idx="27">
                  <c:v>95.443659799012124</c:v>
                </c:pt>
                <c:pt idx="28">
                  <c:v>93.776052586580974</c:v>
                </c:pt>
                <c:pt idx="29">
                  <c:v>91.193707443763614</c:v>
                </c:pt>
                <c:pt idx="30">
                  <c:v>92.009173921189088</c:v>
                </c:pt>
                <c:pt idx="31">
                  <c:v>93.776052586580974</c:v>
                </c:pt>
                <c:pt idx="32">
                  <c:v>93.776052586580974</c:v>
                </c:pt>
              </c:numCache>
            </c:numRef>
          </c:yVal>
          <c:smooth val="0"/>
          <c:extLst>
            <c:ext xmlns:c16="http://schemas.microsoft.com/office/drawing/2014/chart" uri="{C3380CC4-5D6E-409C-BE32-E72D297353CC}">
              <c16:uniqueId val="{00000003-1B05-3348-A23D-B6C7F287D9DC}"/>
            </c:ext>
          </c:extLst>
        </c:ser>
        <c:dLbls>
          <c:showLegendKey val="0"/>
          <c:showVal val="0"/>
          <c:showCatName val="0"/>
          <c:showSerName val="0"/>
          <c:showPercent val="0"/>
          <c:showBubbleSize val="0"/>
        </c:dLbls>
        <c:axId val="-2066690904"/>
        <c:axId val="-2066682328"/>
      </c:scatterChart>
      <c:valAx>
        <c:axId val="-2066690904"/>
        <c:scaling>
          <c:orientation val="minMax"/>
          <c:max val="100"/>
          <c:min val="40"/>
        </c:scaling>
        <c:delete val="0"/>
        <c:axPos val="b"/>
        <c:title>
          <c:tx>
            <c:rich>
              <a:bodyPr/>
              <a:lstStyle/>
              <a:p>
                <a:pPr>
                  <a:defRPr sz="1800" b="0" i="0" u="none" strike="noStrike" baseline="0">
                    <a:solidFill>
                      <a:srgbClr val="000000"/>
                    </a:solidFill>
                    <a:latin typeface="Verdana"/>
                    <a:ea typeface="Verdana"/>
                    <a:cs typeface="Verdana"/>
                  </a:defRPr>
                </a:pPr>
                <a:r>
                  <a:rPr lang="en-US" sz="1800" b="0"/>
                  <a:t>100xMg# Liquid</a:t>
                </a:r>
              </a:p>
            </c:rich>
          </c:tx>
          <c:layout>
            <c:manualLayout>
              <c:xMode val="edge"/>
              <c:yMode val="edge"/>
              <c:x val="0.41414141414141398"/>
              <c:y val="0.92810457516339895"/>
            </c:manualLayout>
          </c:layout>
          <c:overlay val="0"/>
          <c:spPr>
            <a:noFill/>
            <a:ln w="25400">
              <a:noFill/>
            </a:ln>
          </c:spPr>
        </c:title>
        <c:numFmt formatCode="General" sourceLinked="1"/>
        <c:majorTickMark val="in"/>
        <c:minorTickMark val="none"/>
        <c:tickLblPos val="nextTo"/>
        <c:spPr>
          <a:ln w="19050">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066682328"/>
        <c:crosses val="autoZero"/>
        <c:crossBetween val="midCat"/>
      </c:valAx>
      <c:valAx>
        <c:axId val="-2066682328"/>
        <c:scaling>
          <c:orientation val="minMax"/>
          <c:max val="100"/>
          <c:min val="60"/>
        </c:scaling>
        <c:delete val="0"/>
        <c:axPos val="l"/>
        <c:title>
          <c:tx>
            <c:rich>
              <a:bodyPr/>
              <a:lstStyle/>
              <a:p>
                <a:pPr>
                  <a:defRPr sz="1800" b="0" i="0" u="none" strike="noStrike" baseline="0">
                    <a:solidFill>
                      <a:srgbClr val="000000"/>
                    </a:solidFill>
                    <a:latin typeface="Verdana"/>
                    <a:ea typeface="Verdana"/>
                    <a:cs typeface="Verdana"/>
                  </a:defRPr>
                </a:pPr>
                <a:r>
                  <a:rPr lang="en-US" sz="1800" b="0"/>
                  <a:t>100xMg# Olivine</a:t>
                </a:r>
              </a:p>
            </c:rich>
          </c:tx>
          <c:layout>
            <c:manualLayout>
              <c:xMode val="edge"/>
              <c:yMode val="edge"/>
              <c:x val="4.6292806749986801E-2"/>
              <c:y val="0.29847499851020598"/>
            </c:manualLayout>
          </c:layout>
          <c:overlay val="0"/>
          <c:spPr>
            <a:noFill/>
            <a:ln w="25400">
              <a:noFill/>
            </a:ln>
          </c:spPr>
        </c:title>
        <c:numFmt formatCode="General" sourceLinked="1"/>
        <c:majorTickMark val="in"/>
        <c:minorTickMark val="none"/>
        <c:tickLblPos val="nextTo"/>
        <c:spPr>
          <a:ln w="19050">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066690904"/>
        <c:crosses val="autoZero"/>
        <c:crossBetween val="midCat"/>
      </c:valAx>
      <c:spPr>
        <a:noFill/>
        <a:ln w="19050">
          <a:solidFill>
            <a:srgbClr val="000000"/>
          </a:solidFill>
          <a:prstDash val="solid"/>
        </a:ln>
      </c:spPr>
    </c:plotArea>
    <c:plotVisOnly val="1"/>
    <c:dispBlanksAs val="gap"/>
    <c:showDLblsOverMax val="0"/>
  </c:chart>
  <c:spPr>
    <a:noFill/>
    <a:ln w="9525">
      <a:noFill/>
    </a:ln>
  </c:spPr>
  <c:txPr>
    <a:bodyPr/>
    <a:lstStyle/>
    <a:p>
      <a:pPr>
        <a:defRPr sz="875" b="0" i="0" u="none" strike="noStrike" baseline="0">
          <a:solidFill>
            <a:srgbClr val="000000"/>
          </a:solidFill>
          <a:latin typeface="Verdana"/>
          <a:ea typeface="Verdana"/>
          <a:cs typeface="Verdan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3" workbookViewId="0" zoomToFit="1"/>
  </sheetViews>
  <pageMargins left="0.75" right="0.75" top="1" bottom="1" header="0.5" footer="0.5"/>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152400</xdr:rowOff>
    </xdr:from>
    <xdr:to>
      <xdr:col>13</xdr:col>
      <xdr:colOff>660400</xdr:colOff>
      <xdr:row>94</xdr:row>
      <xdr:rowOff>127000</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rrowheads="1"/>
        </xdr:cNvSpPr>
      </xdr:nvSpPr>
      <xdr:spPr bwMode="auto">
        <a:xfrm>
          <a:off x="800100" y="152400"/>
          <a:ext cx="12242800" cy="17881600"/>
        </a:xfrm>
        <a:prstGeom prst="rect">
          <a:avLst/>
        </a:prstGeom>
        <a:solidFill>
          <a:srgbClr val="FFFFFF"/>
        </a:solidFill>
        <a:ln w="9525">
          <a:solidFill>
            <a:srgbClr val="BCBCBC"/>
          </a:solidFill>
          <a:miter lim="800000"/>
          <a:headEnd/>
          <a:tailEnd/>
        </a:ln>
      </xdr:spPr>
      <xdr:txBody>
        <a:bodyPr vertOverflow="clip" wrap="square" lIns="91440" tIns="45720" rIns="91440" bIns="45720" anchor="t"/>
        <a:lstStyle/>
        <a:p>
          <a:pPr algn="l" rtl="0">
            <a:defRPr sz="1000"/>
          </a:pPr>
          <a:r>
            <a:rPr lang="en-US" sz="2400" b="1" i="1" u="none" strike="noStrike" baseline="0">
              <a:solidFill>
                <a:srgbClr val="000000"/>
              </a:solidFill>
              <a:latin typeface="Calibri"/>
              <a:ea typeface="Calibri"/>
              <a:cs typeface="Calibri"/>
            </a:rPr>
            <a:t>Instructions for Calculating Mantle Potential Temperatures (Tp)</a:t>
          </a:r>
        </a:p>
        <a:p>
          <a:pPr algn="l" rtl="0">
            <a:defRPr sz="1000"/>
          </a:pPr>
          <a:endParaRPr lang="en-US" sz="1800" b="0" i="0" u="none" strike="noStrike" baseline="0">
            <a:solidFill>
              <a:srgbClr val="000000"/>
            </a:solidFill>
            <a:latin typeface="Calibri"/>
            <a:ea typeface="Calibri"/>
            <a:cs typeface="Calibri"/>
          </a:endParaRPr>
        </a:p>
        <a:p>
          <a:pPr algn="l" rtl="0">
            <a:defRPr sz="1000"/>
          </a:pPr>
          <a:r>
            <a:rPr lang="en-US" sz="1400" b="0" i="0" u="none" strike="noStrik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Predicted melt fractions from Lee and Chin (2014) and Herzberg and Asimow (2008; 2015) are also provided in "Calc </a:t>
          </a:r>
          <a:r>
            <a:rPr lang="en-US" sz="1400" b="0" i="1" u="none" strike="noStrike" baseline="0">
              <a:solidFill>
                <a:srgbClr val="000000"/>
              </a:solidFill>
              <a:latin typeface="Calibri"/>
              <a:ea typeface="Calibri"/>
              <a:cs typeface="Calibri"/>
            </a:rPr>
            <a:t>P</a:t>
          </a:r>
          <a:r>
            <a:rPr lang="en-US" sz="1400" b="0" i="0" u="none" strike="noStrike" baseline="0">
              <a:solidFill>
                <a:srgbClr val="000000"/>
              </a:solidFill>
              <a:latin typeface="Calibri"/>
              <a:ea typeface="Calibri"/>
              <a:cs typeface="Calibri"/>
            </a:rPr>
            <a:t> iterative".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800" b="1" i="1" u="none" strike="noStrike" baseline="0">
              <a:solidFill>
                <a:srgbClr val="000000"/>
              </a:solidFill>
              <a:latin typeface="Calibri"/>
              <a:ea typeface="Calibri"/>
              <a:cs typeface="Calibri"/>
            </a:rPr>
            <a:t>OPTION 1: Input a value for Pressure &amp; Calculate T</a:t>
          </a:r>
          <a:r>
            <a:rPr lang="en-US" sz="1800" b="1" i="1" u="none" strike="noStrike" baseline="-25000">
              <a:solidFill>
                <a:srgbClr val="000000"/>
              </a:solidFill>
              <a:latin typeface="Calibri"/>
              <a:ea typeface="Calibri"/>
              <a:cs typeface="Calibri"/>
            </a:rPr>
            <a:t>p</a:t>
          </a:r>
        </a:p>
        <a:p>
          <a:pPr algn="l" rtl="0">
            <a:defRPr sz="1000"/>
          </a:pPr>
          <a:r>
            <a:rPr lang="en-US" sz="1600" b="0" i="0" u="sng" strike="noStrike" baseline="0">
              <a:solidFill>
                <a:srgbClr val="000000"/>
              </a:solidFill>
              <a:latin typeface="Calibri"/>
              <a:ea typeface="Calibri"/>
              <a:cs typeface="Calibri"/>
            </a:rPr>
            <a:t>Use Worksheet: "Input P"</a:t>
          </a:r>
        </a:p>
        <a:p>
          <a:pPr algn="l" rtl="0">
            <a:defRPr sz="1000"/>
          </a:pPr>
          <a:r>
            <a:rPr lang="en-US" sz="1400" b="0" i="0" u="none" strike="noStrike" baseline="0">
              <a:solidFill>
                <a:srgbClr val="000000"/>
              </a:solidFill>
              <a:latin typeface="Calibri"/>
              <a:ea typeface="Calibri"/>
              <a:cs typeface="Calibri"/>
            </a:rPr>
            <a:t>1) Input a "candidate" (mantle-equilibrated) parental liquid composition in columns F - Q.</a:t>
          </a:r>
        </a:p>
        <a:p>
          <a:pPr algn="l" rtl="0">
            <a:defRPr sz="1000"/>
          </a:pPr>
          <a:r>
            <a:rPr lang="en-US" sz="1400" b="0" i="0" u="none" strike="noStrike" baseline="0">
              <a:solidFill>
                <a:srgbClr val="000000"/>
              </a:solidFill>
              <a:latin typeface="Calibri"/>
              <a:ea typeface="Calibri"/>
              <a:cs typeface="Calibri"/>
            </a:rPr>
            <a:t>2) Enter a value for pressure (</a:t>
          </a:r>
          <a:r>
            <a:rPr lang="en-US" sz="1400" b="0" i="1" u="none" strike="noStrike" baseline="0">
              <a:solidFill>
                <a:srgbClr val="000000"/>
              </a:solidFill>
              <a:latin typeface="Calibri"/>
              <a:ea typeface="Calibri"/>
              <a:cs typeface="Calibri"/>
            </a:rPr>
            <a:t>P</a:t>
          </a:r>
          <a:r>
            <a:rPr lang="en-US" sz="1400" b="0" i="0" u="none" strike="noStrike" baseline="0">
              <a:solidFill>
                <a:srgbClr val="000000"/>
              </a:solidFill>
              <a:latin typeface="Calibri"/>
              <a:ea typeface="Calibri"/>
              <a:cs typeface="Calibri"/>
            </a:rPr>
            <a:t>) in units of GPa, in column S</a:t>
          </a:r>
        </a:p>
        <a:p>
          <a:pPr algn="l" rtl="0">
            <a:defRPr sz="1000"/>
          </a:pPr>
          <a:r>
            <a:rPr lang="en-US" sz="1400" b="0" i="0" u="none" strike="noStrike" baseline="0">
              <a:solidFill>
                <a:srgbClr val="000000"/>
              </a:solidFill>
              <a:latin typeface="Calibri"/>
              <a:ea typeface="Calibri"/>
              <a:cs typeface="Calibri"/>
            </a:rPr>
            <a:t>3) Set a value for oxygen fugacity: the default </a:t>
          </a:r>
          <a:r>
            <a:rPr lang="en-US" sz="1400" b="0" i="1" u="none" strike="noStrike" baseline="0">
              <a:solidFill>
                <a:srgbClr val="000000"/>
              </a:solidFill>
              <a:latin typeface="Calibri"/>
              <a:ea typeface="Calibri"/>
              <a:cs typeface="Calibri"/>
            </a:rPr>
            <a:t>fO2 =</a:t>
          </a:r>
          <a:r>
            <a:rPr lang="en-US" sz="1400" b="0" i="0" u="none" strike="noStrike" baseline="0">
              <a:solidFill>
                <a:srgbClr val="000000"/>
              </a:solidFill>
              <a:latin typeface="Calibri"/>
              <a:ea typeface="Calibri"/>
              <a:cs typeface="Calibri"/>
            </a:rPr>
            <a:t> NNO (nickel + Nickel oxide).</a:t>
          </a:r>
        </a:p>
        <a:p>
          <a:pPr algn="l" rtl="0">
            <a:defRPr sz="1000"/>
          </a:pPr>
          <a:r>
            <a:rPr lang="en-US" sz="1400" b="0" i="0" u="none" strike="noStrike" baseline="0">
              <a:solidFill>
                <a:srgbClr val="000000"/>
              </a:solidFill>
              <a:latin typeface="Calibri"/>
              <a:ea typeface="Calibri"/>
              <a:cs typeface="Calibri"/>
            </a:rPr>
            <a:t>	(a) For default NNO reference, let cell E4 = number of log units above (positive) or below (negative) NNO</a:t>
          </a:r>
        </a:p>
        <a:p>
          <a:pPr algn="l" rtl="0">
            <a:defRPr sz="1000"/>
          </a:pPr>
          <a:r>
            <a:rPr lang="en-US" sz="1400" b="0" i="0" u="none" strike="noStrike" baseline="0">
              <a:solidFill>
                <a:srgbClr val="000000"/>
              </a:solidFill>
              <a:latin typeface="+mn-lt"/>
              <a:ea typeface="Calibri"/>
              <a:cs typeface="Calibri"/>
            </a:rPr>
            <a:t>	(b) For QFM (quartz + fayalite + magnetite), set C8 = D8 (default is D8 = F8); let D4 = number of log units above (positive) or below (negative) the QFM</a:t>
          </a:r>
        </a:p>
        <a:p>
          <a:pPr algn="l" rtl="0">
            <a:defRPr sz="1000"/>
          </a:pPr>
          <a:r>
            <a:rPr lang="en-US" sz="1400" b="0" i="0" u="none" strike="noStrike" baseline="0">
              <a:solidFill>
                <a:srgbClr val="000000"/>
              </a:solidFill>
              <a:latin typeface="+mn-lt"/>
              <a:ea typeface="Calibri"/>
              <a:cs typeface="Calibri"/>
            </a:rPr>
            <a:t>4) OPTIONAL: Set value for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in Column BB (Avg.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Otherwise, column BB uses a predicted value for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obtained from models in BE, BI.</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1600" b="0" i="0" u="sng" strike="noStrike" baseline="0">
              <a:solidFill>
                <a:srgbClr val="000000"/>
              </a:solidFill>
              <a:latin typeface="+mn-lt"/>
              <a:ea typeface="Calibri"/>
              <a:cs typeface="Calibri"/>
            </a:rPr>
            <a:t>You are done</a:t>
          </a:r>
          <a:r>
            <a:rPr lang="en-US" sz="1600" b="0" i="0" u="none" strike="noStrike" baseline="0">
              <a:solidFill>
                <a:srgbClr val="000000"/>
              </a:solidFill>
              <a:latin typeface="+mn-lt"/>
              <a:ea typeface="Calibri"/>
              <a:cs typeface="Calibri"/>
            </a:rPr>
            <a:t>. </a:t>
          </a:r>
        </a:p>
        <a:p>
          <a:pPr algn="l" rtl="0">
            <a:defRPr sz="1000"/>
          </a:pPr>
          <a:r>
            <a:rPr lang="en-US" sz="1400" b="0" i="0" u="none" strike="noStrike" baseline="0">
              <a:solidFill>
                <a:srgbClr val="000000"/>
              </a:solidFill>
              <a:latin typeface="+mn-lt"/>
              <a:ea typeface="Calibri"/>
              <a:cs typeface="Calibri"/>
            </a:rPr>
            <a:t>(i) Predicted Mantle Potential Temperature, Tp, values are in columns Z-AA (using constant and variable enthalpy, heat capacity and adiabat)</a:t>
          </a:r>
        </a:p>
        <a:p>
          <a:pPr algn="l" rtl="0">
            <a:defRPr sz="1000"/>
          </a:pPr>
          <a:r>
            <a:rPr lang="en-US" sz="1400" b="0" i="0" u="none" strike="noStrike" baseline="0">
              <a:solidFill>
                <a:srgbClr val="000000"/>
              </a:solidFill>
              <a:latin typeface="+mn-lt"/>
              <a:ea typeface="Calibri"/>
              <a:cs typeface="Calibri"/>
            </a:rPr>
            <a:t>An estimate of error is in column AB.</a:t>
          </a:r>
        </a:p>
        <a:p>
          <a:pPr algn="l" rtl="0">
            <a:defRPr sz="1000"/>
          </a:pPr>
          <a:r>
            <a:rPr lang="en-US" sz="1400" b="0" i="0" u="none" strike="noStrike" baseline="0">
              <a:solidFill>
                <a:srgbClr val="000000"/>
              </a:solidFill>
              <a:latin typeface="+mn-lt"/>
              <a:ea typeface="Calibri"/>
              <a:cs typeface="Calibri"/>
            </a:rPr>
            <a:t>(ii) Predicted olivine-liquid equilibration temperatures (at the selected mantle pressures) are in columns U - W.</a:t>
          </a:r>
        </a:p>
        <a:p>
          <a:pPr algn="l" rtl="0">
            <a:defRPr sz="1000"/>
          </a:pPr>
          <a:r>
            <a:rPr lang="en-US" sz="1400" b="1" i="0" u="none" strike="noStrike" baseline="0">
              <a:solidFill>
                <a:srgbClr val="000000"/>
              </a:solidFill>
              <a:latin typeface="+mn-lt"/>
              <a:ea typeface="Calibri"/>
              <a:cs typeface="Calibri"/>
            </a:rPr>
            <a:t>TEST1: for dry systems (i.e., column Q is close to zero) these temperatures should be close - within 30</a:t>
          </a:r>
          <a:r>
            <a:rPr lang="en-US" sz="1400" b="1" i="0" u="none" strike="noStrike" baseline="30000">
              <a:solidFill>
                <a:srgbClr val="000000"/>
              </a:solidFill>
              <a:latin typeface="+mn-lt"/>
              <a:ea typeface="Calibri"/>
              <a:cs typeface="Calibri"/>
            </a:rPr>
            <a:t>o</a:t>
          </a:r>
          <a:r>
            <a:rPr lang="en-US" sz="1400" b="1" i="0" u="none" strike="noStrike" baseline="0">
              <a:solidFill>
                <a:srgbClr val="000000"/>
              </a:solidFill>
              <a:latin typeface="+mn-lt"/>
              <a:ea typeface="Calibri"/>
              <a:cs typeface="Calibri"/>
            </a:rPr>
            <a:t>C or so). These temperatures will not agree for hydrous systems; in such cases Columns V &amp; W are to be preferred  (</a:t>
          </a:r>
          <a:r>
            <a:rPr lang="en-US" sz="1400" b="1" i="1" u="none" strike="noStrike" baseline="0">
              <a:solidFill>
                <a:srgbClr val="000000"/>
              </a:solidFill>
              <a:latin typeface="+mn-lt"/>
              <a:ea typeface="Calibri"/>
              <a:cs typeface="Calibri"/>
            </a:rPr>
            <a:t>T</a:t>
          </a:r>
          <a:r>
            <a:rPr lang="en-US" sz="1400" b="1" i="0" u="none" strike="noStrike" baseline="0">
              <a:solidFill>
                <a:srgbClr val="000000"/>
              </a:solidFill>
              <a:latin typeface="+mn-lt"/>
              <a:ea typeface="Calibri"/>
              <a:cs typeface="Calibri"/>
            </a:rPr>
            <a:t>p is by default calculated from V).</a:t>
          </a:r>
        </a:p>
        <a:p>
          <a:pPr algn="l" rtl="0">
            <a:defRPr sz="1000"/>
          </a:pPr>
          <a:r>
            <a:rPr lang="en-US" sz="1400" b="0" i="0" u="none" strike="noStrike" baseline="0">
              <a:solidFill>
                <a:srgbClr val="000000"/>
              </a:solidFill>
              <a:latin typeface="+mn-lt"/>
              <a:ea typeface="Calibri"/>
              <a:cs typeface="Calibri"/>
            </a:rPr>
            <a:t>(iii) Predicted forsterite (Fo) content of olivine is in column AT</a:t>
          </a:r>
        </a:p>
        <a:p>
          <a:pPr algn="l" rtl="0">
            <a:defRPr sz="1000"/>
          </a:pPr>
          <a:r>
            <a:rPr lang="en-US" sz="1400" b="1" i="0" u="none" strike="noStrike" baseline="0">
              <a:solidFill>
                <a:srgbClr val="000000"/>
              </a:solidFill>
              <a:latin typeface="+mn-lt"/>
              <a:ea typeface="Calibri"/>
              <a:cs typeface="Calibri"/>
            </a:rPr>
            <a:t>TEST2: these Fo contents should approach what you expect for olivine in the mantle source. If they do not, then try another liquid composition in cells F - Q.</a:t>
          </a:r>
        </a:p>
        <a:p>
          <a:pPr algn="l" rtl="0">
            <a:defRPr sz="1000"/>
          </a:pPr>
          <a:r>
            <a:rPr lang="en-US" sz="1400" b="0" i="0" u="none" strike="noStrike" baseline="0">
              <a:solidFill>
                <a:srgbClr val="000000"/>
              </a:solidFill>
              <a:latin typeface="+mn-lt"/>
              <a:ea typeface="Calibri"/>
              <a:cs typeface="Calibri"/>
            </a:rPr>
            <a:t>(iv) Predicted (theoretical) </a:t>
          </a:r>
          <a:r>
            <a:rPr lang="en-US" sz="1400" b="0" i="1" u="none" strike="noStrike" baseline="0">
              <a:solidFill>
                <a:srgbClr val="000000"/>
              </a:solidFill>
              <a:latin typeface="+mn-lt"/>
              <a:ea typeface="Calibri"/>
              <a:cs typeface="Calibri"/>
            </a:rPr>
            <a:t>K</a:t>
          </a:r>
          <a:r>
            <a:rPr lang="en-US" sz="1400" b="0" i="1" u="none" strike="noStrike" baseline="-25000">
              <a:solidFill>
                <a:srgbClr val="000000"/>
              </a:solidFill>
              <a:latin typeface="+mn-lt"/>
              <a:ea typeface="Calibri"/>
              <a:cs typeface="Calibri"/>
            </a:rPr>
            <a:t>D</a:t>
          </a:r>
          <a:r>
            <a:rPr lang="en-US" sz="1400" b="0" i="0" u="none" strike="noStrike" baseline="0">
              <a:solidFill>
                <a:srgbClr val="000000"/>
              </a:solidFill>
              <a:latin typeface="+mn-lt"/>
              <a:ea typeface="Calibri"/>
              <a:cs typeface="Calibri"/>
            </a:rPr>
            <a:t> for Fe-Mg exchange, when Fe = FeO total (or FeOt) is in Column AK. </a:t>
          </a:r>
        </a:p>
        <a:p>
          <a:pPr algn="l" rtl="0">
            <a:defRPr sz="1000"/>
          </a:pPr>
          <a:r>
            <a:rPr lang="en-US" sz="1400" b="1" i="0" u="none" strike="noStrike" baseline="0">
              <a:solidFill>
                <a:srgbClr val="000000"/>
              </a:solidFill>
              <a:latin typeface="+mn-lt"/>
              <a:ea typeface="Calibri"/>
              <a:cs typeface="Calibri"/>
            </a:rPr>
            <a:t>TEST3: This value should come close to the value in AL (with ±0.04 or so), obtained from predicted olivine compositions (columns CS-CU or AO-AQ)</a:t>
          </a:r>
        </a:p>
        <a:p>
          <a:pPr algn="l" rtl="0">
            <a:defRPr sz="1000"/>
          </a:pPr>
          <a:r>
            <a:rPr lang="en-US" sz="1400" b="0" i="0" u="none" strike="noStrike" baseline="0">
              <a:solidFill>
                <a:srgbClr val="000000"/>
              </a:solidFill>
              <a:latin typeface="+mn-lt"/>
              <a:ea typeface="Calibri"/>
              <a:cs typeface="Calibri"/>
            </a:rPr>
            <a:t>(v) Predicted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is in column BC (taken as an average from BF and BJ). </a:t>
          </a:r>
        </a:p>
        <a:p>
          <a:pPr algn="l" rtl="0">
            <a:defRPr sz="1000"/>
          </a:pPr>
          <a:r>
            <a:rPr lang="en-US" sz="1400" b="1" i="0" u="none" strike="noStrike" baseline="0">
              <a:solidFill>
                <a:srgbClr val="000000"/>
              </a:solidFill>
              <a:latin typeface="+mn-lt"/>
              <a:ea typeface="Calibri"/>
              <a:cs typeface="Calibri"/>
            </a:rPr>
            <a:t>TEST4: This column, or one of the columns BE to BJ, should match values anticipated for the source. These </a:t>
          </a:r>
          <a:r>
            <a:rPr lang="en-US" sz="1400" b="1" i="1" u="none" strike="noStrike" baseline="0">
              <a:solidFill>
                <a:srgbClr val="000000"/>
              </a:solidFill>
              <a:latin typeface="+mn-lt"/>
              <a:ea typeface="Calibri"/>
              <a:cs typeface="Calibri"/>
            </a:rPr>
            <a:t>F</a:t>
          </a:r>
          <a:r>
            <a:rPr lang="en-US" sz="1400" b="1" i="0" u="none" strike="noStrike" baseline="0">
              <a:solidFill>
                <a:srgbClr val="000000"/>
              </a:solidFill>
              <a:latin typeface="+mn-lt"/>
              <a:ea typeface="Calibri"/>
              <a:cs typeface="Calibri"/>
            </a:rPr>
            <a:t> values are for total (accumulated) batch melts. </a:t>
          </a:r>
        </a:p>
        <a:p>
          <a:pPr algn="l" rtl="0">
            <a:defRPr sz="1000"/>
          </a:pPr>
          <a:r>
            <a:rPr lang="en-US" sz="1400" b="0" i="0" u="none" strike="noStrike" baseline="0">
              <a:solidFill>
                <a:srgbClr val="000000"/>
              </a:solidFill>
              <a:latin typeface="+mn-lt"/>
              <a:ea typeface="Calibri"/>
              <a:cs typeface="Calibri"/>
            </a:rPr>
            <a:t>(vi) Predicted </a:t>
          </a:r>
          <a:r>
            <a:rPr lang="en-US" sz="1400" b="0" i="1" u="none" strike="noStrike" baseline="0">
              <a:solidFill>
                <a:srgbClr val="000000"/>
              </a:solidFill>
              <a:latin typeface="+mn-lt"/>
              <a:ea typeface="Calibri"/>
              <a:cs typeface="Calibri"/>
            </a:rPr>
            <a:t>P </a:t>
          </a:r>
          <a:r>
            <a:rPr lang="en-US" sz="1400" b="0" i="0" u="none" strike="noStrike" baseline="0">
              <a:solidFill>
                <a:srgbClr val="000000"/>
              </a:solidFill>
              <a:latin typeface="+mn-lt"/>
              <a:ea typeface="Calibri"/>
              <a:cs typeface="Calibri"/>
            </a:rPr>
            <a:t>is in column AG and is calculated from Si-activity (Putirka 2008), in column AF. </a:t>
          </a:r>
        </a:p>
        <a:p>
          <a:pPr algn="l" rtl="0">
            <a:defRPr sz="1000"/>
          </a:pPr>
          <a:r>
            <a:rPr lang="en-US" sz="1400" b="1" i="0" u="none" strike="noStrike" baseline="0">
              <a:solidFill>
                <a:srgbClr val="000000"/>
              </a:solidFill>
              <a:latin typeface="+mn-lt"/>
              <a:ea typeface="Calibri"/>
              <a:cs typeface="Calibri"/>
            </a:rPr>
            <a:t>TEST5: Compare predicted (AG) and entered (T) values (understanding that </a:t>
          </a:r>
          <a:r>
            <a:rPr lang="en-US" sz="1400" b="1" i="1" u="none" strike="noStrike" baseline="0">
              <a:solidFill>
                <a:srgbClr val="000000"/>
              </a:solidFill>
              <a:latin typeface="+mn-lt"/>
              <a:ea typeface="Calibri"/>
              <a:cs typeface="Calibri"/>
            </a:rPr>
            <a:t>P</a:t>
          </a:r>
          <a:r>
            <a:rPr lang="en-US" sz="1400" b="1" i="0" u="none" strike="noStrike" baseline="0">
              <a:solidFill>
                <a:srgbClr val="000000"/>
              </a:solidFill>
              <a:latin typeface="+mn-lt"/>
              <a:ea typeface="Calibri"/>
              <a:cs typeface="Calibri"/>
            </a:rPr>
            <a:t> is only roughly predicted at best)</a:t>
          </a:r>
        </a:p>
        <a:p>
          <a:pPr algn="l" rtl="0">
            <a:defRPr sz="1000"/>
          </a:pPr>
          <a:endParaRPr lang="en-US" sz="1400" b="1" i="0" u="none" strike="noStrike" baseline="0">
            <a:solidFill>
              <a:srgbClr val="000000"/>
            </a:solidFill>
            <a:latin typeface="Calibri"/>
            <a:ea typeface="Calibri"/>
            <a:cs typeface="Calibri"/>
          </a:endParaRPr>
        </a:p>
        <a:p>
          <a:pPr algn="l" rtl="0">
            <a:defRPr sz="1000"/>
          </a:pPr>
          <a:r>
            <a:rPr lang="en-US" sz="1800" b="1" i="1" u="none" strike="noStrike" baseline="0">
              <a:solidFill>
                <a:srgbClr val="000000"/>
              </a:solidFill>
              <a:latin typeface="Calibri"/>
              <a:ea typeface="Calibri"/>
              <a:cs typeface="Calibri"/>
            </a:rPr>
            <a:t>OPTION 2: Calculate Pressure and T</a:t>
          </a:r>
          <a:r>
            <a:rPr lang="en-US" sz="1800" b="1" i="1" u="none" strike="noStrike" baseline="-25000">
              <a:solidFill>
                <a:srgbClr val="000000"/>
              </a:solidFill>
              <a:latin typeface="Calibri"/>
              <a:ea typeface="Calibri"/>
              <a:cs typeface="Calibri"/>
            </a:rPr>
            <a:t>p</a:t>
          </a:r>
          <a:r>
            <a:rPr lang="en-US" sz="1800" b="1" i="1" u="none" strike="noStrike" baseline="0">
              <a:solidFill>
                <a:srgbClr val="000000"/>
              </a:solidFill>
              <a:latin typeface="Calibri"/>
              <a:ea typeface="Calibri"/>
              <a:cs typeface="Calibri"/>
            </a:rPr>
            <a:t> iteratively</a:t>
          </a:r>
        </a:p>
        <a:p>
          <a:pPr algn="l" rtl="0">
            <a:defRPr sz="1000"/>
          </a:pPr>
          <a:r>
            <a:rPr lang="en-US" sz="1600" b="0" i="0" u="sng" strike="noStrike" baseline="0">
              <a:solidFill>
                <a:srgbClr val="000000"/>
              </a:solidFill>
              <a:latin typeface="+mn-lt"/>
              <a:ea typeface="Calibri"/>
              <a:cs typeface="Calibri"/>
            </a:rPr>
            <a:t>Use Worksheet: "Calc P Iterative"</a:t>
          </a:r>
        </a:p>
        <a:p>
          <a:pPr algn="l" rtl="0">
            <a:defRPr sz="1000"/>
          </a:pPr>
          <a:r>
            <a:rPr lang="en-US" sz="1400" b="0" i="0" u="none" strike="noStrike" baseline="0">
              <a:solidFill>
                <a:srgbClr val="000000"/>
              </a:solidFill>
              <a:latin typeface="+mn-lt"/>
              <a:ea typeface="Calibri"/>
              <a:cs typeface="Calibri"/>
            </a:rPr>
            <a:t>1) Input a "candidate" (mantle-equilibrated) parental liquid composition in columns F - Q.</a:t>
          </a:r>
        </a:p>
        <a:p>
          <a:pPr algn="l" rtl="0">
            <a:defRPr sz="1000"/>
          </a:pPr>
          <a:r>
            <a:rPr lang="en-US" sz="1400" b="0" i="0" u="none" strike="noStrike" baseline="0">
              <a:solidFill>
                <a:srgbClr val="000000"/>
              </a:solidFill>
              <a:latin typeface="+mn-lt"/>
              <a:ea typeface="Calibri"/>
              <a:cs typeface="Calibri"/>
            </a:rPr>
            <a:t>2) Set a value for oxygen fugacity: the default fO2 = NNO (nickel + Nickel oxide).</a:t>
          </a:r>
        </a:p>
        <a:p>
          <a:pPr algn="l" rtl="0">
            <a:defRPr sz="1000"/>
          </a:pPr>
          <a:r>
            <a:rPr lang="en-US" sz="1400" b="0" i="0" u="none" strike="noStrike" baseline="0">
              <a:solidFill>
                <a:srgbClr val="000000"/>
              </a:solidFill>
              <a:latin typeface="+mn-lt"/>
              <a:ea typeface="Calibri"/>
              <a:cs typeface="Calibri"/>
            </a:rPr>
            <a:t>	(a) For default NNO reference, let cell E4 = number of log units above (positive) or below (negative) NNO</a:t>
          </a:r>
        </a:p>
        <a:p>
          <a:pPr algn="l" rtl="0">
            <a:defRPr sz="1000"/>
          </a:pPr>
          <a:r>
            <a:rPr lang="en-US" sz="1400" b="0" i="0" u="none" strike="noStrike" baseline="0">
              <a:solidFill>
                <a:srgbClr val="000000"/>
              </a:solidFill>
              <a:latin typeface="+mn-lt"/>
              <a:ea typeface="Calibri"/>
              <a:cs typeface="Calibri"/>
            </a:rPr>
            <a:t>	(b) For QFM (quartz + fayalite + magnetite), set C8 = D8 (default is D8 = F8); let D4 = number of log units above (positive) or below (negative) the QFM</a:t>
          </a:r>
        </a:p>
        <a:p>
          <a:pPr algn="l" rtl="0">
            <a:defRPr sz="1000"/>
          </a:pPr>
          <a:r>
            <a:rPr lang="en-US" sz="1400" b="0" i="0" u="none" strike="noStrike" baseline="0">
              <a:solidFill>
                <a:srgbClr val="000000"/>
              </a:solidFill>
              <a:latin typeface="+mn-lt"/>
              <a:ea typeface="Calibri"/>
              <a:cs typeface="Calibri"/>
            </a:rPr>
            <a:t>3) OPTIONAL: Set value for melt fraction (F) in Column BB (Avg. F); Otherwise, column BB uses a predicted value for F obtained from models in BE, BI.</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1600" b="0" i="0" u="sng" strike="noStrike" baseline="0">
              <a:solidFill>
                <a:srgbClr val="000000"/>
              </a:solidFill>
              <a:latin typeface="+mn-lt"/>
              <a:ea typeface="Calibri"/>
              <a:cs typeface="Calibri"/>
            </a:rPr>
            <a:t>You are done. </a:t>
          </a:r>
        </a:p>
        <a:p>
          <a:pPr algn="l" rtl="0">
            <a:defRPr sz="1000"/>
          </a:pPr>
          <a:r>
            <a:rPr lang="en-US" sz="1400" b="0" i="0" u="none" strike="noStrike" baseline="0">
              <a:solidFill>
                <a:srgbClr val="000000"/>
              </a:solidFill>
              <a:latin typeface="+mn-lt"/>
              <a:ea typeface="Calibri"/>
              <a:cs typeface="Calibri"/>
            </a:rPr>
            <a:t>(i) Predicted Tp values are in columns Z - AA (using constant or calculatd enthalpy and heat capacity, and adiabat).</a:t>
          </a:r>
        </a:p>
        <a:p>
          <a:pPr algn="l" rtl="0">
            <a:defRPr sz="1000"/>
          </a:pPr>
          <a:r>
            <a:rPr lang="en-US" sz="1400" b="0" i="0" u="none" strike="noStrike" baseline="0">
              <a:solidFill>
                <a:srgbClr val="000000"/>
              </a:solidFill>
              <a:latin typeface="+mn-lt"/>
              <a:ea typeface="Calibri"/>
              <a:cs typeface="Calibri"/>
            </a:rPr>
            <a:t>An estimate of error is in column AB. </a:t>
          </a:r>
        </a:p>
        <a:p>
          <a:pPr algn="l" rtl="0">
            <a:defRPr sz="1000"/>
          </a:pPr>
          <a:r>
            <a:rPr lang="en-US" sz="1400" b="0" i="0" u="none" strike="noStrike" baseline="0">
              <a:solidFill>
                <a:srgbClr val="000000"/>
              </a:solidFill>
              <a:latin typeface="+mn-lt"/>
              <a:ea typeface="Calibri"/>
              <a:cs typeface="Calibri"/>
            </a:rPr>
            <a:t>(ii) Predicted olivine-liquid equilibration temperatures (at the selected mantle pressures) are in columns U - W.</a:t>
          </a:r>
        </a:p>
        <a:p>
          <a:pPr algn="l" rtl="0">
            <a:defRPr sz="1000"/>
          </a:pPr>
          <a:r>
            <a:rPr lang="en-US" sz="1400" b="1" i="0" u="none" strike="noStrike" baseline="0">
              <a:solidFill>
                <a:srgbClr val="000000"/>
              </a:solidFill>
              <a:latin typeface="+mn-lt"/>
              <a:ea typeface="Calibri"/>
              <a:cs typeface="Calibri"/>
            </a:rPr>
            <a:t>TEST1: for dry systems (i.e., column Q is close to zero) these two temperatures should be close - within 30</a:t>
          </a:r>
          <a:r>
            <a:rPr lang="en-US" sz="1400" b="1" i="0" u="none" strike="noStrike" baseline="30000">
              <a:solidFill>
                <a:srgbClr val="000000"/>
              </a:solidFill>
              <a:latin typeface="+mn-lt"/>
              <a:ea typeface="Calibri"/>
              <a:cs typeface="Calibri"/>
            </a:rPr>
            <a:t>o</a:t>
          </a:r>
          <a:r>
            <a:rPr lang="en-US" sz="1400" b="1" i="0" u="none" strike="noStrike" baseline="0">
              <a:solidFill>
                <a:srgbClr val="000000"/>
              </a:solidFill>
              <a:latin typeface="+mn-lt"/>
              <a:ea typeface="Calibri"/>
              <a:cs typeface="Calibri"/>
            </a:rPr>
            <a:t>C or so). These temperatures will not agree for hydrous systems; in such cases Columns V &amp; W are to be preferred (Tp is by default calculated from V).</a:t>
          </a:r>
        </a:p>
        <a:p>
          <a:pPr algn="l" rtl="0">
            <a:defRPr sz="1000"/>
          </a:pPr>
          <a:r>
            <a:rPr lang="en-US" sz="1400" b="0" i="0" u="none" strike="noStrike" baseline="0">
              <a:solidFill>
                <a:srgbClr val="000000"/>
              </a:solidFill>
              <a:latin typeface="+mn-lt"/>
              <a:ea typeface="Calibri"/>
              <a:cs typeface="Calibri"/>
            </a:rPr>
            <a:t>(iii) Predicted forsterite (Fo) content of olivine is in column AT</a:t>
          </a:r>
        </a:p>
        <a:p>
          <a:pPr algn="l" rtl="0">
            <a:defRPr sz="1000"/>
          </a:pPr>
          <a:r>
            <a:rPr lang="en-US" sz="1400" b="1" i="0" u="none" strike="noStrike" baseline="0">
              <a:solidFill>
                <a:srgbClr val="000000"/>
              </a:solidFill>
              <a:latin typeface="+mn-lt"/>
              <a:ea typeface="Calibri"/>
              <a:cs typeface="Calibri"/>
            </a:rPr>
            <a:t>TEST 2: these Fo contents should match what you expect for olivine in the mantle source. If they do not, then try another liquid composition in cells F - Q.</a:t>
          </a:r>
        </a:p>
        <a:p>
          <a:pPr algn="l" rtl="0">
            <a:defRPr sz="1000"/>
          </a:pPr>
          <a:r>
            <a:rPr lang="en-US" sz="1400" b="0" i="0" u="none" strike="noStrike" baseline="0">
              <a:solidFill>
                <a:srgbClr val="000000"/>
              </a:solidFill>
              <a:latin typeface="+mn-lt"/>
              <a:ea typeface="Calibri"/>
              <a:cs typeface="Calibri"/>
            </a:rPr>
            <a:t>(iv) Predicted (theoretical) </a:t>
          </a:r>
          <a:r>
            <a:rPr lang="en-US" sz="1400" b="0" i="1" u="none" strike="noStrike" baseline="0">
              <a:solidFill>
                <a:srgbClr val="000000"/>
              </a:solidFill>
              <a:latin typeface="+mn-lt"/>
              <a:ea typeface="Calibri"/>
              <a:cs typeface="Calibri"/>
            </a:rPr>
            <a:t>K</a:t>
          </a:r>
          <a:r>
            <a:rPr lang="en-US" sz="1400" b="0" i="0" u="none" strike="noStrike" baseline="-25000">
              <a:solidFill>
                <a:srgbClr val="000000"/>
              </a:solidFill>
              <a:latin typeface="+mn-lt"/>
              <a:ea typeface="Calibri"/>
              <a:cs typeface="Calibri"/>
            </a:rPr>
            <a:t>D</a:t>
          </a:r>
          <a:r>
            <a:rPr lang="en-US" sz="1400" b="0" i="0" u="none" strike="noStrike" baseline="0">
              <a:solidFill>
                <a:srgbClr val="000000"/>
              </a:solidFill>
              <a:latin typeface="+mn-lt"/>
              <a:ea typeface="Calibri"/>
              <a:cs typeface="Calibri"/>
            </a:rPr>
            <a:t> for Fe-Mg exchange, when Fe = FeO total (or FeOt) is in Column AK. </a:t>
          </a:r>
        </a:p>
        <a:p>
          <a:pPr algn="l" rtl="0">
            <a:defRPr sz="1000"/>
          </a:pPr>
          <a:r>
            <a:rPr lang="en-US" sz="1400" b="1" i="0" u="none" strike="noStrike" baseline="0">
              <a:solidFill>
                <a:srgbClr val="000000"/>
              </a:solidFill>
              <a:latin typeface="+mn-lt"/>
              <a:ea typeface="Calibri"/>
              <a:cs typeface="Calibri"/>
            </a:rPr>
            <a:t>TEST 3: This value should come close to the value in AL (within ±0.04), obtained from predicted olivine compositions (columns CS-CU or AO-AQ).</a:t>
          </a:r>
        </a:p>
        <a:p>
          <a:pPr algn="l" rtl="0">
            <a:defRPr sz="1000"/>
          </a:pPr>
          <a:r>
            <a:rPr lang="en-US" sz="1400" b="0" i="0" u="none" strike="noStrike" baseline="0">
              <a:solidFill>
                <a:srgbClr val="000000"/>
              </a:solidFill>
              <a:latin typeface="+mn-lt"/>
              <a:ea typeface="Calibri"/>
              <a:cs typeface="Calibri"/>
            </a:rPr>
            <a:t>(v) Predicted melt fraction (</a:t>
          </a:r>
          <a:r>
            <a:rPr lang="en-US" sz="1400" b="0" i="1" u="none" strike="noStrike" baseline="0">
              <a:solidFill>
                <a:srgbClr val="000000"/>
              </a:solidFill>
              <a:latin typeface="+mn-lt"/>
              <a:ea typeface="Calibri"/>
              <a:cs typeface="Calibri"/>
            </a:rPr>
            <a:t>F</a:t>
          </a:r>
          <a:r>
            <a:rPr lang="en-US" sz="1400" b="0" i="0" u="none" strike="noStrike" baseline="0">
              <a:solidFill>
                <a:srgbClr val="000000"/>
              </a:solidFill>
              <a:latin typeface="+mn-lt"/>
              <a:ea typeface="Calibri"/>
              <a:cs typeface="Calibri"/>
            </a:rPr>
            <a:t>) is in column BC (taken as an average from BJ and BF). </a:t>
          </a:r>
        </a:p>
        <a:p>
          <a:pPr algn="l" rtl="0">
            <a:defRPr sz="1000"/>
          </a:pPr>
          <a:r>
            <a:rPr lang="en-US" sz="1400" b="1" i="0" u="none" strike="noStrike" baseline="0">
              <a:solidFill>
                <a:srgbClr val="000000"/>
              </a:solidFill>
              <a:latin typeface="+mn-lt"/>
              <a:ea typeface="Calibri"/>
              <a:cs typeface="Calibri"/>
            </a:rPr>
            <a:t>TEST: This column, or one of the columns BE - BJ, should match values anticipated for the source. These </a:t>
          </a:r>
          <a:r>
            <a:rPr lang="en-US" sz="1400" b="1" i="1" u="none" strike="noStrike" baseline="0">
              <a:solidFill>
                <a:srgbClr val="000000"/>
              </a:solidFill>
              <a:latin typeface="+mn-lt"/>
              <a:ea typeface="Calibri"/>
              <a:cs typeface="Calibri"/>
            </a:rPr>
            <a:t>F</a:t>
          </a:r>
          <a:r>
            <a:rPr lang="en-US" sz="1400" b="1" i="0" u="none" strike="noStrike" baseline="0">
              <a:solidFill>
                <a:srgbClr val="000000"/>
              </a:solidFill>
              <a:latin typeface="+mn-lt"/>
              <a:ea typeface="Calibri"/>
              <a:cs typeface="Calibri"/>
            </a:rPr>
            <a:t> values are for total (accumulated) batch melts. Predicted F values using Lee and Chin (2014) and Herzberg and Asimow (2008; 2015) are also shown, in columns BL-BM including solidus P-T (columns BS and BT) and ol-liq T (column BR) from Herzberg and Asimow.</a:t>
          </a:r>
        </a:p>
        <a:p>
          <a:pPr algn="l" rtl="0">
            <a:defRPr sz="1000"/>
          </a:pPr>
          <a:r>
            <a:rPr lang="en-US" sz="1400" b="0" i="0" u="none" strike="noStrike" baseline="0">
              <a:solidFill>
                <a:srgbClr val="000000"/>
              </a:solidFill>
              <a:latin typeface="+mn-lt"/>
              <a:ea typeface="Calibri"/>
              <a:cs typeface="Calibri"/>
            </a:rPr>
            <a:t>(vi) Predicted pressure (</a:t>
          </a:r>
          <a:r>
            <a:rPr lang="en-US" sz="1400" b="0" i="1" u="none" strike="noStrike" baseline="0">
              <a:solidFill>
                <a:srgbClr val="000000"/>
              </a:solidFill>
              <a:latin typeface="+mn-lt"/>
              <a:ea typeface="Calibri"/>
              <a:cs typeface="Calibri"/>
            </a:rPr>
            <a:t>P</a:t>
          </a:r>
          <a:r>
            <a:rPr lang="en-US" sz="1400" b="0" i="0" u="none" strike="noStrike" baseline="0">
              <a:solidFill>
                <a:srgbClr val="000000"/>
              </a:solidFill>
              <a:latin typeface="+mn-lt"/>
              <a:ea typeface="Calibri"/>
              <a:cs typeface="Calibri"/>
            </a:rPr>
            <a:t>) is in column D (and column AJ), and is calculated from Si-activity (Putirka 2008; see column AI)</a:t>
          </a:r>
        </a:p>
        <a:p>
          <a:pPr algn="l" rtl="0">
            <a:defRPr sz="1000"/>
          </a:pPr>
          <a:endParaRPr lang="en-US" sz="1800" b="0" i="0" u="none" strike="noStrike" baseline="0">
            <a:solidFill>
              <a:srgbClr val="000000"/>
            </a:solidFill>
            <a:latin typeface="+mn-lt"/>
            <a:ea typeface="Calibri"/>
            <a:cs typeface="Calibri"/>
          </a:endParaRPr>
        </a:p>
        <a:p>
          <a:pPr algn="l" rtl="0">
            <a:defRPr sz="1000"/>
          </a:pPr>
          <a:r>
            <a:rPr lang="en-US" sz="1800" b="1" i="1" u="none" strike="noStrike" baseline="0">
              <a:solidFill>
                <a:srgbClr val="000000"/>
              </a:solidFill>
              <a:latin typeface="+mn-lt"/>
              <a:ea typeface="Calibri"/>
              <a:cs typeface="Calibri"/>
            </a:rPr>
            <a:t>Change Thermodynamic Parameters for Heats of Fusion, Heat Capacity, Adiabat</a:t>
          </a:r>
        </a:p>
        <a:p>
          <a:pPr algn="l" rtl="0">
            <a:defRPr sz="1000"/>
          </a:pPr>
          <a:r>
            <a:rPr lang="en-US" sz="1400" b="0" i="0" u="none" strike="noStrike" baseline="0">
              <a:solidFill>
                <a:srgbClr val="000000"/>
              </a:solidFill>
              <a:latin typeface="+mn-lt"/>
              <a:ea typeface="Calibri"/>
              <a:cs typeface="Calibri"/>
            </a:rPr>
            <a:t>For either "Calc P Iterative" or "Input P" Sheets:</a:t>
          </a:r>
        </a:p>
        <a:p>
          <a:pPr algn="l" rtl="0">
            <a:defRPr sz="1000"/>
          </a:pPr>
          <a:r>
            <a:rPr lang="en-US" sz="1400" b="0" i="0" u="sng" strike="noStrike" baseline="0">
              <a:solidFill>
                <a:srgbClr val="000000"/>
              </a:solidFill>
              <a:latin typeface="+mn-lt"/>
              <a:ea typeface="Calibri"/>
              <a:cs typeface="Calibri"/>
            </a:rPr>
            <a:t>For upward T correction Due to Heat of Fusion:</a:t>
          </a:r>
        </a:p>
        <a:p>
          <a:pPr algn="l" rtl="0">
            <a:defRPr sz="1000"/>
          </a:pPr>
          <a:r>
            <a:rPr lang="en-US" sz="1400" b="0" i="0" u="none" strike="noStrike" baseline="0">
              <a:solidFill>
                <a:srgbClr val="000000"/>
              </a:solidFill>
              <a:latin typeface="+mn-lt"/>
              <a:ea typeface="Calibri"/>
              <a:cs typeface="Calibri"/>
            </a:rPr>
            <a:t>1) For a new Heat of fusion, insert preferred value in column AE, which otherwise calculates a peridotite heat of fusion using Eqn. 12a in Putirka (2016).</a:t>
          </a:r>
        </a:p>
        <a:p>
          <a:pPr algn="l" rtl="0">
            <a:defRPr sz="1000"/>
          </a:pPr>
          <a:r>
            <a:rPr lang="en-US" sz="1400" b="0" i="0" u="none" strike="noStrike" baseline="0">
              <a:solidFill>
                <a:srgbClr val="000000"/>
              </a:solidFill>
              <a:latin typeface="+mn-lt"/>
              <a:ea typeface="Calibri"/>
              <a:cs typeface="Calibri"/>
            </a:rPr>
            <a:t>2) For a new Heat Capacity, insert a preferred value into column AF, which otherwise calculates a peridotite heat of fusion using Eqn. 12b in Putirka (2016).</a:t>
          </a:r>
        </a:p>
        <a:p>
          <a:pPr algn="l" rtl="0">
            <a:defRPr sz="1000"/>
          </a:pPr>
          <a:r>
            <a:rPr lang="en-US" sz="1400" b="0" i="0" u="none" strike="noStrike" baseline="0">
              <a:solidFill>
                <a:srgbClr val="000000"/>
              </a:solidFill>
              <a:latin typeface="+mn-lt"/>
              <a:ea typeface="Calibri"/>
              <a:cs typeface="Calibri"/>
            </a:rPr>
            <a:t>3) Use Tp in column AA which is linked to columns AE and AF</a:t>
          </a:r>
        </a:p>
        <a:p>
          <a:pPr algn="l" rtl="0">
            <a:defRPr sz="1000"/>
          </a:pPr>
          <a:r>
            <a:rPr lang="en-US" sz="1400" b="0" i="0" u="sng" strike="noStrike" baseline="0">
              <a:solidFill>
                <a:srgbClr val="000000"/>
              </a:solidFill>
              <a:latin typeface="+mn-lt"/>
              <a:ea typeface="Calibri"/>
              <a:cs typeface="Calibri"/>
            </a:rPr>
            <a:t>For a New Adiabat:</a:t>
          </a:r>
        </a:p>
        <a:p>
          <a:pPr algn="l" rtl="0">
            <a:defRPr sz="1000"/>
          </a:pPr>
          <a:r>
            <a:rPr lang="en-US" sz="1400" b="0" i="0" u="none" strike="noStrike" baseline="0">
              <a:solidFill>
                <a:srgbClr val="000000"/>
              </a:solidFill>
              <a:latin typeface="+mn-lt"/>
              <a:ea typeface="Calibri"/>
              <a:cs typeface="Calibri"/>
            </a:rPr>
            <a:t>1) Insert a new molar volume and thermal expansion coefficient in cells AD1 and AD2.</a:t>
          </a:r>
        </a:p>
        <a:p>
          <a:pPr algn="l" rtl="0">
            <a:defRPr sz="1000"/>
          </a:pPr>
          <a:r>
            <a:rPr lang="en-US" sz="1400" b="0" i="0" u="none" strike="noStrike" baseline="0">
              <a:solidFill>
                <a:srgbClr val="000000"/>
              </a:solidFill>
              <a:latin typeface="+mn-lt"/>
              <a:ea typeface="Calibri"/>
              <a:cs typeface="Calibri"/>
            </a:rPr>
            <a:t>2) ) Use Tp in column AA which is linked to column AD (as well as columns AE and AF).</a:t>
          </a:r>
        </a:p>
        <a:p>
          <a:pPr algn="l" rtl="0">
            <a:defRPr sz="1000"/>
          </a:pPr>
          <a:endParaRPr lang="en-US" sz="1400" b="0" i="0" u="none" strike="noStrike" baseline="0">
            <a:solidFill>
              <a:srgbClr val="000000"/>
            </a:solidFill>
            <a:latin typeface="Calibri"/>
            <a:ea typeface="Calibri"/>
            <a:cs typeface="Calibri"/>
          </a:endParaRPr>
        </a:p>
        <a:p>
          <a:pPr algn="l" rtl="0">
            <a:defRPr sz="1000"/>
          </a:pPr>
          <a:r>
            <a:rPr lang="en-US" sz="2000" b="1" i="1" u="none" strike="noStrike" baseline="0">
              <a:solidFill>
                <a:srgbClr val="000000"/>
              </a:solidFill>
              <a:latin typeface="Calibri"/>
              <a:ea typeface="Calibri"/>
              <a:cs typeface="Calibri"/>
            </a:rPr>
            <a:t>Calculate a Mantle-equilibrated Parental Magma Composition</a:t>
          </a:r>
        </a:p>
        <a:p>
          <a:pPr algn="l" rtl="0">
            <a:defRPr sz="1000"/>
          </a:pPr>
          <a:r>
            <a:rPr lang="en-US" sz="1400" b="0" i="0" u="none" strike="noStrike" baseline="0">
              <a:solidFill>
                <a:srgbClr val="000000"/>
              </a:solidFill>
              <a:latin typeface="Calibri"/>
              <a:ea typeface="Calibri"/>
              <a:cs typeface="Calibri"/>
            </a:rPr>
            <a:t>1) Go to "Parental Magma Calc" Sheet; follow instructions in cells A6 - A11</a:t>
          </a:r>
        </a:p>
        <a:p>
          <a:pPr algn="l" rtl="0">
            <a:defRPr sz="1000"/>
          </a:pPr>
          <a:r>
            <a:rPr lang="en-US" sz="1400" b="0" i="0" u="none" strike="noStrike" baseline="0">
              <a:solidFill>
                <a:srgbClr val="000000"/>
              </a:solidFill>
              <a:latin typeface="Calibri"/>
              <a:ea typeface="Calibri"/>
              <a:cs typeface="Calibri"/>
            </a:rPr>
            <a:t>2) Output from cells D27-O27 can be paste into (Use "paste special " - "Values only") into columns G -R (Input P) or O - Z (Calc P Iterative)</a:t>
          </a:r>
        </a:p>
        <a:p>
          <a:pPr algn="l" rtl="0">
            <a:defRPr sz="1000"/>
          </a:pPr>
          <a:endParaRPr lang="en-US" sz="1400" b="0" i="0" u="none" strike="noStrike" baseline="0">
            <a:solidFill>
              <a:srgbClr val="000000"/>
            </a:solidFill>
            <a:latin typeface="+mn-lt"/>
            <a:ea typeface="Calibri"/>
            <a:cs typeface="Calibri"/>
          </a:endParaRPr>
        </a:p>
        <a:p>
          <a:pPr algn="l" rtl="0">
            <a:defRPr sz="1000"/>
          </a:pPr>
          <a:r>
            <a:rPr lang="en-US" sz="2000" b="1" i="1" u="none" strike="noStrike" baseline="0">
              <a:solidFill>
                <a:srgbClr val="000000"/>
              </a:solidFill>
              <a:latin typeface="+mn-lt"/>
              <a:ea typeface="Calibri"/>
              <a:cs typeface="Calibri"/>
            </a:rPr>
            <a:t>Test for Olivine-Melt Equilibrium Using Rhodes Diagram</a:t>
          </a:r>
        </a:p>
        <a:p>
          <a:pPr algn="l" rtl="0">
            <a:defRPr sz="1000"/>
          </a:pPr>
          <a:r>
            <a:rPr lang="en-US" sz="1400" b="0" i="0" u="none" strike="noStrike" baseline="0">
              <a:solidFill>
                <a:srgbClr val="000000"/>
              </a:solidFill>
              <a:latin typeface="Calibri"/>
              <a:ea typeface="Calibri"/>
              <a:cs typeface="Calibri"/>
            </a:rPr>
            <a:t>1) Copy and Paste ("Paste-Special", as "new series") Columns AM-AN in "Input P" or Columns AS - AT in "Calc P Iterative" into "Rhodes Diagram" sheet</a:t>
          </a:r>
        </a:p>
        <a:p>
          <a:pPr algn="l" rtl="0">
            <a:defRPr sz="1000"/>
          </a:pPr>
          <a:r>
            <a:rPr lang="en-US" sz="1400" b="0" i="0" u="none" strike="noStrike" baseline="0">
              <a:solidFill>
                <a:srgbClr val="000000"/>
              </a:solidFill>
              <a:latin typeface="Calibri"/>
              <a:ea typeface="Calibri"/>
              <a:cs typeface="Calibri"/>
            </a:rPr>
            <a:t>2) Adjust cell C4 in "Rhodes Diag Calcs" to set the Fe-Mg exchange coefficient (</a:t>
          </a:r>
          <a:r>
            <a:rPr lang="en-US" sz="1400" b="0" i="1" u="none" strike="noStrike" baseline="0">
              <a:solidFill>
                <a:srgbClr val="000000"/>
              </a:solidFill>
              <a:latin typeface="Calibri"/>
              <a:ea typeface="Calibri"/>
              <a:cs typeface="Calibri"/>
            </a:rPr>
            <a:t>K</a:t>
          </a:r>
          <a:r>
            <a:rPr lang="en-US" sz="1400" b="0" i="0" u="none" strike="noStrike" baseline="-25000">
              <a:solidFill>
                <a:srgbClr val="000000"/>
              </a:solidFill>
              <a:latin typeface="Calibri"/>
              <a:ea typeface="Calibri"/>
              <a:cs typeface="Calibri"/>
            </a:rPr>
            <a:t>D</a:t>
          </a:r>
          <a:r>
            <a:rPr lang="en-US" sz="1400" b="0" i="0" u="none" strike="noStrike" baseline="0">
              <a:solidFill>
                <a:srgbClr val="000000"/>
              </a:solidFill>
              <a:latin typeface="Calibri"/>
              <a:ea typeface="Calibri"/>
              <a:cs typeface="Calibri"/>
            </a:rPr>
            <a:t>), which is the solid line in the "Rhodes Diagram" plot</a:t>
          </a:r>
        </a:p>
        <a:p>
          <a:pPr algn="l" rtl="0">
            <a:defRPr sz="1000"/>
          </a:pPr>
          <a:r>
            <a:rPr lang="en-US" sz="1400" b="0" i="0" u="none" strike="noStrike" baseline="0">
              <a:solidFill>
                <a:srgbClr val="000000"/>
              </a:solidFill>
              <a:latin typeface="Calibri"/>
              <a:ea typeface="Calibri"/>
              <a:cs typeface="Calibri"/>
            </a:rPr>
            <a:t>3) Adjust cell C6 in "Rhodes Diag Calcs" to set the error bounds for the exchange coefficient (shown as dashed curves in the "Rhodes Diagram" plot).</a:t>
          </a:r>
        </a:p>
        <a:p>
          <a:pPr algn="l" rtl="0">
            <a:defRPr sz="1000"/>
          </a:pPr>
          <a:endParaRPr lang="en-US" sz="1400" b="0" i="0" u="none" strike="noStrike" baseline="0">
            <a:solidFill>
              <a:srgbClr val="000000"/>
            </a:solidFill>
            <a:latin typeface="Calibri"/>
            <a:ea typeface="Calibri"/>
            <a:cs typeface="Calibri"/>
          </a:endParaRPr>
        </a:p>
        <a:p>
          <a:pPr algn="l" rtl="0">
            <a:defRPr sz="1000"/>
          </a:pPr>
          <a:r>
            <a:rPr lang="en-US" sz="2000" b="1" i="1" u="none" strike="noStrike" baseline="0">
              <a:solidFill>
                <a:srgbClr val="000000"/>
              </a:solidFill>
              <a:latin typeface="Calibri"/>
              <a:ea typeface="Calibri"/>
              <a:cs typeface="Calibri"/>
            </a:rPr>
            <a:t>Tips On Use</a:t>
          </a:r>
        </a:p>
        <a:p>
          <a:pPr algn="l" rtl="0">
            <a:defRPr sz="1000"/>
          </a:pPr>
          <a:r>
            <a:rPr lang="en-US" sz="1400" b="0" i="0" u="none" strike="noStrike" baseline="0">
              <a:solidFill>
                <a:srgbClr val="000000"/>
              </a:solidFill>
              <a:latin typeface="Calibri"/>
              <a:ea typeface="Calibri"/>
              <a:cs typeface="Calibri"/>
            </a:rPr>
            <a:t>1) The "Calc P Iterative" requires iterative calculations. Go to "</a:t>
          </a:r>
          <a:r>
            <a:rPr lang="en-US" sz="1400" b="1" i="1" u="none" strike="noStrike" baseline="0">
              <a:solidFill>
                <a:srgbClr val="000000"/>
              </a:solidFill>
              <a:latin typeface="Calibri"/>
              <a:ea typeface="Calibri"/>
              <a:cs typeface="Calibri"/>
            </a:rPr>
            <a:t>Preferences</a:t>
          </a:r>
          <a:r>
            <a:rPr lang="en-US" sz="1400" b="0" i="0" u="none" strike="noStrike" baseline="0">
              <a:solidFill>
                <a:srgbClr val="000000"/>
              </a:solidFill>
              <a:latin typeface="Calibri"/>
              <a:ea typeface="Calibri"/>
              <a:cs typeface="Calibri"/>
            </a:rPr>
            <a:t>" - "</a:t>
          </a:r>
          <a:r>
            <a:rPr lang="en-US" sz="1400" b="1" i="1" u="none" strike="noStrike" baseline="0">
              <a:solidFill>
                <a:srgbClr val="000000"/>
              </a:solidFill>
              <a:latin typeface="Calibri"/>
              <a:ea typeface="Calibri"/>
              <a:cs typeface="Calibri"/>
            </a:rPr>
            <a:t>Calculation</a:t>
          </a:r>
          <a:r>
            <a:rPr lang="en-US" sz="1400" b="0" i="0" u="none" strike="noStrike" baseline="0">
              <a:solidFill>
                <a:srgbClr val="000000"/>
              </a:solidFill>
              <a:latin typeface="Calibri"/>
              <a:ea typeface="Calibri"/>
              <a:cs typeface="Calibri"/>
            </a:rPr>
            <a:t>" and check "</a:t>
          </a:r>
          <a:r>
            <a:rPr lang="en-US" sz="1400" b="1" i="1" u="none" strike="noStrike" baseline="0">
              <a:solidFill>
                <a:srgbClr val="000000"/>
              </a:solidFill>
              <a:latin typeface="Calibri"/>
              <a:ea typeface="Calibri"/>
              <a:cs typeface="Calibri"/>
            </a:rPr>
            <a:t>Limit Iteration</a:t>
          </a:r>
          <a:r>
            <a:rPr lang="en-US" sz="1400" b="0" i="0" u="none" strike="noStrike" baseline="0">
              <a:solidFill>
                <a:srgbClr val="000000"/>
              </a:solidFill>
              <a:latin typeface="Calibri"/>
              <a:ea typeface="Calibri"/>
              <a:cs typeface="Calibri"/>
            </a:rPr>
            <a:t>" (which turns on iterative calculations). Otherwise the sheet will not work.</a:t>
          </a:r>
        </a:p>
        <a:p>
          <a:pPr algn="l" rtl="0">
            <a:defRPr sz="1000"/>
          </a:pPr>
          <a:r>
            <a:rPr lang="en-US" sz="1400" b="0" i="0" u="none" strike="noStrike" baseline="0">
              <a:solidFill>
                <a:srgbClr val="000000"/>
              </a:solidFill>
              <a:latin typeface="Calibri"/>
              <a:ea typeface="Calibri"/>
              <a:cs typeface="Calibri"/>
            </a:rPr>
            <a:t>2) The "iterative calculation" feature in Excel is delicate. If you enter a strange number or accidentally type text instead of numbers into certain cells, the spreadsheets may return "#NUM!" or "#DIV/0". There's no easy recovery. It is best to take an entire "good" row (select the dark gray row number at the far left), and copy and paste over the row that provides either of these errors. Then re-enter your input values as appropriate.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71505" cy="628172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5"/>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79"/>
  <sheetViews>
    <sheetView tabSelected="1" workbookViewId="0"/>
  </sheetViews>
  <sheetFormatPr defaultColWidth="11.5546875" defaultRowHeight="15"/>
  <cols>
    <col min="1" max="1" width="21.88671875" customWidth="1"/>
    <col min="2" max="2" width="10.6640625" style="77"/>
    <col min="3" max="3" width="15.109375" style="77" customWidth="1"/>
    <col min="4" max="4" width="15.5546875" customWidth="1"/>
    <col min="5" max="5" width="13.109375" customWidth="1"/>
    <col min="6" max="7" width="10.6640625" style="77"/>
    <col min="8" max="8" width="11.88671875" style="77" customWidth="1"/>
    <col min="9" max="17" width="10.6640625" style="77"/>
    <col min="19" max="19" width="26.109375" customWidth="1"/>
    <col min="20" max="20" width="16.5546875" customWidth="1"/>
    <col min="22" max="23" width="19.6640625" customWidth="1"/>
    <col min="26" max="27" width="17.44140625" customWidth="1"/>
    <col min="28" max="28" width="13.33203125" customWidth="1"/>
    <col min="29" max="30" width="13.33203125" style="77" customWidth="1"/>
    <col min="31" max="31" width="17" customWidth="1"/>
    <col min="32" max="32" width="16.5546875" customWidth="1"/>
    <col min="33" max="34" width="13.33203125" customWidth="1"/>
    <col min="37" max="38" width="10.6640625" style="77"/>
    <col min="39" max="39" width="13.88671875" style="77" customWidth="1"/>
    <col min="40" max="40" width="12.44140625" style="77" customWidth="1"/>
    <col min="41" max="41" width="12.88671875" customWidth="1"/>
    <col min="43" max="43" width="13.33203125" customWidth="1"/>
    <col min="44" max="44" width="6.33203125" customWidth="1"/>
    <col min="48" max="48" width="18" customWidth="1"/>
    <col min="50" max="50" width="16.109375" customWidth="1"/>
    <col min="51" max="51" width="16" customWidth="1"/>
    <col min="52" max="52" width="23.5546875" customWidth="1"/>
    <col min="53" max="53" width="2.5546875" style="17" customWidth="1"/>
    <col min="54" max="54" width="11.5546875" style="17" customWidth="1"/>
    <col min="55" max="55" width="6.88671875" style="17" customWidth="1"/>
    <col min="56" max="56" width="15.44140625" customWidth="1"/>
    <col min="57" max="57" width="19" customWidth="1"/>
    <col min="58" max="58" width="18.5546875" customWidth="1"/>
    <col min="59" max="59" width="1.88671875" customWidth="1"/>
    <col min="60" max="60" width="15.5546875" customWidth="1"/>
    <col min="61" max="61" width="17.33203125" customWidth="1"/>
    <col min="62" max="62" width="2.44140625" customWidth="1"/>
    <col min="63" max="63" width="22.109375" customWidth="1"/>
    <col min="64" max="64" width="21.6640625" style="77" customWidth="1"/>
    <col min="65" max="68" width="10.6640625" style="77"/>
    <col min="69" max="69" width="9.33203125" customWidth="1"/>
    <col min="70" max="70" width="14.88671875" customWidth="1"/>
    <col min="71" max="72" width="9.33203125" customWidth="1"/>
    <col min="131" max="131" width="2" customWidth="1"/>
    <col min="161" max="161" width="10.6640625" style="17"/>
    <col min="164" max="164" width="14.44140625" customWidth="1"/>
    <col min="168" max="171" width="13.5546875" customWidth="1"/>
    <col min="190" max="190" width="13" bestFit="1" customWidth="1"/>
    <col min="206" max="206" width="1.33203125" customWidth="1"/>
  </cols>
  <sheetData>
    <row r="1" spans="1:220" ht="31.5" thickBot="1">
      <c r="A1" s="204" t="s">
        <v>236</v>
      </c>
      <c r="S1" s="17"/>
      <c r="T1" s="17"/>
      <c r="AC1" s="274" t="s">
        <v>300</v>
      </c>
      <c r="AD1" s="275">
        <v>5.0599999999999996</v>
      </c>
      <c r="AE1" s="276" t="s">
        <v>303</v>
      </c>
      <c r="AG1" s="272"/>
      <c r="AH1" s="272"/>
      <c r="BA1"/>
      <c r="BB1"/>
    </row>
    <row r="2" spans="1:220" ht="24" thickBot="1">
      <c r="A2" s="243" t="s">
        <v>238</v>
      </c>
      <c r="D2" s="132" t="s">
        <v>129</v>
      </c>
      <c r="E2" s="133"/>
      <c r="F2" s="133"/>
      <c r="G2" s="134"/>
      <c r="X2" s="77"/>
      <c r="Y2" s="77"/>
      <c r="AC2" s="277" t="s">
        <v>244</v>
      </c>
      <c r="AD2" s="278">
        <f>3.3*10^-5</f>
        <v>3.3000000000000003E-5</v>
      </c>
      <c r="AE2" s="279" t="s">
        <v>304</v>
      </c>
      <c r="AG2" s="272"/>
      <c r="AH2" s="272"/>
      <c r="BA2"/>
      <c r="BB2"/>
      <c r="BK2" s="263" t="s">
        <v>291</v>
      </c>
    </row>
    <row r="3" spans="1:220" s="2" customFormat="1" ht="20.25" thickBot="1">
      <c r="A3" s="244" t="s">
        <v>237</v>
      </c>
      <c r="B3" s="90"/>
      <c r="C3" s="4"/>
      <c r="D3" s="6" t="s">
        <v>1</v>
      </c>
      <c r="E3" s="6" t="s">
        <v>2</v>
      </c>
      <c r="F3" s="77"/>
      <c r="G3" s="77"/>
      <c r="H3" s="77"/>
      <c r="I3" s="77"/>
      <c r="J3" s="77"/>
      <c r="K3" s="77"/>
      <c r="L3" s="77"/>
      <c r="M3" s="77"/>
      <c r="N3" s="77"/>
      <c r="O3" s="77"/>
      <c r="P3" s="77"/>
      <c r="Q3" s="77"/>
      <c r="S3" s="252" t="s">
        <v>124</v>
      </c>
      <c r="T3" s="292"/>
      <c r="U3" s="97"/>
      <c r="V3" s="4"/>
      <c r="W3" s="4"/>
      <c r="X3" s="6"/>
      <c r="Y3"/>
      <c r="Z3"/>
      <c r="AA3"/>
      <c r="AB3" s="6"/>
      <c r="AC3" s="6"/>
      <c r="AD3" s="6"/>
      <c r="AE3" s="6"/>
      <c r="AF3" s="6"/>
      <c r="AG3" s="6"/>
      <c r="AH3" s="6"/>
      <c r="AI3" s="6"/>
      <c r="AJ3" s="6"/>
      <c r="AK3" s="6"/>
      <c r="AL3" s="6"/>
      <c r="AM3" s="6"/>
      <c r="AN3" s="6"/>
      <c r="AS3"/>
      <c r="AT3"/>
      <c r="AU3"/>
      <c r="AV3"/>
      <c r="AW3"/>
      <c r="AX3"/>
      <c r="AY3"/>
      <c r="AZ3"/>
      <c r="BA3"/>
      <c r="BB3"/>
      <c r="BC3" s="4"/>
      <c r="BD3" s="4"/>
      <c r="BE3" s="4"/>
      <c r="BF3" s="4"/>
      <c r="BG3"/>
      <c r="BH3" s="4"/>
      <c r="BI3" s="4"/>
      <c r="BJ3"/>
      <c r="BK3" s="38" t="s">
        <v>268</v>
      </c>
      <c r="BL3" s="38" t="s">
        <v>286</v>
      </c>
      <c r="BM3" s="4"/>
      <c r="BN3" s="4"/>
      <c r="BO3" s="4"/>
      <c r="BP3" s="4"/>
      <c r="BQ3"/>
      <c r="BR3"/>
      <c r="BS3"/>
      <c r="BT3"/>
      <c r="DC3" s="8"/>
      <c r="DD3" s="8"/>
      <c r="DH3" s="8"/>
      <c r="DI3" s="9"/>
      <c r="DL3" s="8"/>
      <c r="FD3"/>
      <c r="FE3"/>
      <c r="FF3"/>
    </row>
    <row r="4" spans="1:220" s="2" customFormat="1" ht="21" thickBot="1">
      <c r="A4" s="1"/>
      <c r="B4" s="90"/>
      <c r="C4" s="114" t="s">
        <v>170</v>
      </c>
      <c r="D4" s="55">
        <v>0</v>
      </c>
      <c r="E4" s="56">
        <v>0</v>
      </c>
      <c r="F4" s="77"/>
      <c r="G4" s="77"/>
      <c r="H4" s="77"/>
      <c r="I4" s="77"/>
      <c r="J4" s="77"/>
      <c r="K4" s="77"/>
      <c r="L4" s="77"/>
      <c r="M4" s="77"/>
      <c r="N4" s="77"/>
      <c r="O4" s="77"/>
      <c r="P4" s="77"/>
      <c r="Q4" s="77"/>
      <c r="S4" s="253" t="s">
        <v>125</v>
      </c>
      <c r="T4" s="292"/>
      <c r="U4" s="97"/>
      <c r="V4" s="3"/>
      <c r="W4" s="3"/>
      <c r="X4" s="5"/>
      <c r="Y4" s="5"/>
      <c r="Z4" s="5"/>
      <c r="AA4" s="5"/>
      <c r="AB4" s="10"/>
      <c r="AC4" s="3"/>
      <c r="AD4" s="3"/>
      <c r="AE4" s="10"/>
      <c r="AF4" s="10"/>
      <c r="AG4" s="10"/>
      <c r="AH4" s="10"/>
      <c r="AI4" s="10"/>
      <c r="AK4" s="6"/>
      <c r="AL4" s="6"/>
      <c r="AM4" s="6"/>
      <c r="AN4" s="6"/>
      <c r="AT4" s="111" t="s">
        <v>169</v>
      </c>
      <c r="AU4" s="112"/>
      <c r="AV4" s="112"/>
      <c r="AW4" s="112"/>
      <c r="AX4" s="113"/>
      <c r="AY4"/>
      <c r="AZ4"/>
      <c r="BA4"/>
      <c r="BB4" s="48"/>
      <c r="BC4" s="48"/>
      <c r="BD4" s="48" t="s">
        <v>108</v>
      </c>
      <c r="BE4" s="47"/>
      <c r="BF4" s="47"/>
      <c r="BG4"/>
      <c r="BH4" s="47"/>
      <c r="BI4" s="47"/>
      <c r="BJ4"/>
      <c r="BK4" s="38" t="s">
        <v>269</v>
      </c>
      <c r="BL4" s="38" t="s">
        <v>269</v>
      </c>
      <c r="BM4" s="4"/>
      <c r="BN4" s="4"/>
      <c r="BO4" s="4"/>
      <c r="BP4" s="4"/>
      <c r="BQ4"/>
      <c r="BR4"/>
      <c r="BS4"/>
      <c r="BT4"/>
      <c r="DC4" s="8"/>
      <c r="DD4" s="8"/>
      <c r="DH4" s="8"/>
      <c r="DI4" s="9"/>
      <c r="FD4"/>
      <c r="FE4"/>
      <c r="FF4"/>
      <c r="FP4" s="13" t="s">
        <v>3</v>
      </c>
    </row>
    <row r="5" spans="1:220" s="15" customFormat="1" ht="21.75" thickTop="1" thickBot="1">
      <c r="A5" s="14"/>
      <c r="B5" s="91"/>
      <c r="C5" s="114" t="s">
        <v>171</v>
      </c>
      <c r="D5" s="17" t="s">
        <v>131</v>
      </c>
      <c r="E5" s="16"/>
      <c r="F5" s="108" t="s">
        <v>168</v>
      </c>
      <c r="G5" s="109"/>
      <c r="H5" s="110"/>
      <c r="I5" s="78"/>
      <c r="J5" s="78"/>
      <c r="K5" s="78"/>
      <c r="L5" s="78"/>
      <c r="M5" s="78"/>
      <c r="N5" s="78"/>
      <c r="O5" s="78"/>
      <c r="P5" s="78"/>
      <c r="Q5" s="78"/>
      <c r="S5" s="254" t="s">
        <v>241</v>
      </c>
      <c r="T5" s="293"/>
      <c r="U5" s="289" t="s">
        <v>130</v>
      </c>
      <c r="V5" s="290" t="s">
        <v>130</v>
      </c>
      <c r="W5" s="291" t="s">
        <v>130</v>
      </c>
      <c r="X5" s="16" t="s">
        <v>7</v>
      </c>
      <c r="Y5" s="16" t="s">
        <v>8</v>
      </c>
      <c r="Z5" s="268" t="s">
        <v>296</v>
      </c>
      <c r="AA5" s="268" t="s">
        <v>295</v>
      </c>
      <c r="AB5" s="18"/>
      <c r="AC5" s="270"/>
      <c r="AD5" s="270"/>
      <c r="AE5" s="18"/>
      <c r="AF5" s="18"/>
      <c r="AG5" s="18"/>
      <c r="AH5" s="18"/>
      <c r="AI5" s="18"/>
      <c r="AJ5" s="18"/>
      <c r="AK5" s="78" t="s">
        <v>4</v>
      </c>
      <c r="AL5" s="78" t="s">
        <v>5</v>
      </c>
      <c r="AM5" s="78" t="s">
        <v>6</v>
      </c>
      <c r="AN5" s="78" t="s">
        <v>5</v>
      </c>
      <c r="AO5" s="7" t="s">
        <v>138</v>
      </c>
      <c r="AP5" s="265"/>
      <c r="AQ5" s="266"/>
      <c r="AS5" s="41"/>
      <c r="AT5" s="35" t="s">
        <v>4</v>
      </c>
      <c r="AU5" s="35"/>
      <c r="AV5" s="35" t="s">
        <v>9</v>
      </c>
      <c r="AW5" s="36"/>
      <c r="AX5" s="36"/>
      <c r="AY5" s="35" t="s">
        <v>9</v>
      </c>
      <c r="AZ5" s="42" t="s">
        <v>10</v>
      </c>
      <c r="BA5" s="46"/>
      <c r="BB5" s="47"/>
      <c r="BC5" s="47"/>
      <c r="BD5" s="64" t="s">
        <v>110</v>
      </c>
      <c r="BE5" s="64"/>
      <c r="BF5" s="64"/>
      <c r="BG5"/>
      <c r="BH5" s="64" t="s">
        <v>10</v>
      </c>
      <c r="BI5" s="64"/>
      <c r="BJ5"/>
      <c r="BK5" s="259">
        <v>38</v>
      </c>
      <c r="BL5" s="259">
        <v>8.02</v>
      </c>
      <c r="BM5" s="78"/>
      <c r="BN5" s="78"/>
      <c r="BO5" s="78"/>
      <c r="BP5" s="78"/>
      <c r="BQ5"/>
      <c r="BR5"/>
      <c r="BS5"/>
      <c r="BT5"/>
      <c r="CZ5" s="15" t="s">
        <v>11</v>
      </c>
      <c r="DI5" s="19"/>
    </row>
    <row r="6" spans="1:220" s="15" customFormat="1" ht="21" thickTop="1" thickBot="1">
      <c r="A6" s="20"/>
      <c r="B6" s="21"/>
      <c r="C6" s="248" t="s">
        <v>123</v>
      </c>
      <c r="D6" s="245" t="s">
        <v>311</v>
      </c>
      <c r="E6" s="245" t="s">
        <v>12</v>
      </c>
      <c r="F6" s="23" t="s">
        <v>132</v>
      </c>
      <c r="G6" s="79"/>
      <c r="H6" s="79"/>
      <c r="I6" s="79"/>
      <c r="J6" s="79"/>
      <c r="K6" s="79"/>
      <c r="L6" s="79"/>
      <c r="M6" s="79"/>
      <c r="N6" s="79"/>
      <c r="O6" s="79"/>
      <c r="P6" s="79"/>
      <c r="Q6" s="79"/>
      <c r="R6" s="19" t="s">
        <v>15</v>
      </c>
      <c r="S6" s="255"/>
      <c r="T6" s="255"/>
      <c r="U6" s="52" t="s">
        <v>121</v>
      </c>
      <c r="V6" s="52" t="s">
        <v>122</v>
      </c>
      <c r="W6" s="271" t="s">
        <v>305</v>
      </c>
      <c r="X6" s="15" t="s">
        <v>14</v>
      </c>
      <c r="Y6" s="15" t="s">
        <v>14</v>
      </c>
      <c r="Z6" s="257" t="s">
        <v>14</v>
      </c>
      <c r="AA6" s="257" t="s">
        <v>14</v>
      </c>
      <c r="AC6" s="284" t="s">
        <v>301</v>
      </c>
      <c r="AD6" s="284" t="s">
        <v>302</v>
      </c>
      <c r="AE6" s="294" t="s">
        <v>309</v>
      </c>
      <c r="AF6" s="294" t="s">
        <v>310</v>
      </c>
      <c r="AI6" s="15" t="s">
        <v>127</v>
      </c>
      <c r="AK6" s="78" t="s">
        <v>13</v>
      </c>
      <c r="AL6" s="78" t="s">
        <v>13</v>
      </c>
      <c r="AM6" s="78" t="s">
        <v>107</v>
      </c>
      <c r="AN6" s="78" t="s">
        <v>107</v>
      </c>
      <c r="AO6" s="62" t="s">
        <v>16</v>
      </c>
      <c r="AP6" s="49"/>
      <c r="AQ6" s="49"/>
      <c r="AS6" s="37" t="s">
        <v>17</v>
      </c>
      <c r="AT6" s="38" t="s">
        <v>18</v>
      </c>
      <c r="AU6" s="38"/>
      <c r="AV6" s="38" t="s">
        <v>19</v>
      </c>
      <c r="AW6" s="38" t="s">
        <v>5</v>
      </c>
      <c r="AX6" s="38" t="s">
        <v>9</v>
      </c>
      <c r="AY6" s="38" t="s">
        <v>20</v>
      </c>
      <c r="AZ6" s="43" t="s">
        <v>21</v>
      </c>
      <c r="BA6" s="46"/>
      <c r="BB6" s="47"/>
      <c r="BC6" s="47" t="s">
        <v>117</v>
      </c>
      <c r="BD6" s="38" t="s">
        <v>112</v>
      </c>
      <c r="BE6" s="38" t="s">
        <v>112</v>
      </c>
      <c r="BF6" s="38" t="s">
        <v>115</v>
      </c>
      <c r="BG6"/>
      <c r="BH6" s="38" t="s">
        <v>113</v>
      </c>
      <c r="BI6" s="38" t="s">
        <v>114</v>
      </c>
      <c r="BJ6"/>
      <c r="BK6" s="38" t="s">
        <v>270</v>
      </c>
      <c r="BL6" s="261" t="s">
        <v>287</v>
      </c>
      <c r="BM6" s="40"/>
      <c r="BN6" s="40"/>
      <c r="BO6" s="40"/>
      <c r="BP6" s="40"/>
      <c r="BQ6" s="40"/>
      <c r="BR6" s="38"/>
      <c r="BS6" s="38"/>
      <c r="BT6"/>
      <c r="BU6" s="15" t="s">
        <v>22</v>
      </c>
      <c r="CG6" s="25" t="s">
        <v>23</v>
      </c>
      <c r="CH6" s="26"/>
      <c r="CI6" s="26"/>
      <c r="CJ6" s="26"/>
      <c r="CK6" s="26"/>
      <c r="CL6" s="26"/>
      <c r="CM6" s="26"/>
      <c r="CN6" s="26"/>
      <c r="CO6" s="27"/>
      <c r="CP6" s="27"/>
      <c r="CQ6" s="27"/>
      <c r="CR6" s="28"/>
      <c r="CS6" s="15" t="s">
        <v>24</v>
      </c>
      <c r="CW6" s="25" t="s">
        <v>25</v>
      </c>
      <c r="CX6" s="26"/>
      <c r="CY6" s="26"/>
      <c r="CZ6" s="25"/>
      <c r="DA6" s="26"/>
      <c r="DB6" s="27"/>
      <c r="DE6" s="19" t="s">
        <v>9</v>
      </c>
      <c r="DI6" s="19" t="s">
        <v>20</v>
      </c>
      <c r="DJ6" s="19"/>
      <c r="DK6" s="19"/>
      <c r="DP6" s="15" t="s">
        <v>26</v>
      </c>
      <c r="DV6" s="15" t="s">
        <v>27</v>
      </c>
      <c r="EB6" s="15" t="s">
        <v>28</v>
      </c>
      <c r="EN6" s="15" t="s">
        <v>29</v>
      </c>
      <c r="EZ6" s="15" t="s">
        <v>30</v>
      </c>
      <c r="FE6" s="15" t="s">
        <v>128</v>
      </c>
      <c r="FR6" s="15" t="s">
        <v>32</v>
      </c>
      <c r="FU6" s="15" t="s">
        <v>33</v>
      </c>
      <c r="FY6" s="15" t="s">
        <v>34</v>
      </c>
      <c r="GD6" s="15" t="s">
        <v>254</v>
      </c>
      <c r="GE6" s="258" t="s">
        <v>250</v>
      </c>
      <c r="GF6" s="258"/>
      <c r="GG6"/>
      <c r="GH6" t="s">
        <v>245</v>
      </c>
      <c r="GI6" t="s">
        <v>242</v>
      </c>
      <c r="GJ6" t="s">
        <v>243</v>
      </c>
      <c r="GK6" t="s">
        <v>244</v>
      </c>
      <c r="GL6" t="s">
        <v>245</v>
      </c>
      <c r="GM6" t="s">
        <v>255</v>
      </c>
      <c r="GN6"/>
      <c r="GO6"/>
      <c r="GP6"/>
      <c r="GQ6"/>
      <c r="GR6"/>
      <c r="GS6"/>
      <c r="GT6"/>
      <c r="GU6"/>
      <c r="GV6"/>
      <c r="GW6" t="s">
        <v>54</v>
      </c>
      <c r="HL6" s="260"/>
    </row>
    <row r="7" spans="1:220" s="15" customFormat="1" ht="21.75" thickTop="1" thickBot="1">
      <c r="A7" s="137" t="s">
        <v>35</v>
      </c>
      <c r="B7" s="92" t="s">
        <v>154</v>
      </c>
      <c r="C7" s="251" t="s">
        <v>38</v>
      </c>
      <c r="D7" s="92" t="s">
        <v>38</v>
      </c>
      <c r="E7" s="92" t="s">
        <v>38</v>
      </c>
      <c r="F7" s="29" t="s">
        <v>41</v>
      </c>
      <c r="G7" s="29" t="s">
        <v>42</v>
      </c>
      <c r="H7" s="29" t="s">
        <v>43</v>
      </c>
      <c r="I7" s="29" t="s">
        <v>44</v>
      </c>
      <c r="J7" s="29" t="s">
        <v>45</v>
      </c>
      <c r="K7" s="29" t="s">
        <v>46</v>
      </c>
      <c r="L7" s="29" t="s">
        <v>47</v>
      </c>
      <c r="M7" s="29" t="s">
        <v>48</v>
      </c>
      <c r="N7" s="29" t="s">
        <v>49</v>
      </c>
      <c r="O7" s="29" t="s">
        <v>50</v>
      </c>
      <c r="P7" s="29" t="s">
        <v>51</v>
      </c>
      <c r="Q7" s="29" t="s">
        <v>52</v>
      </c>
      <c r="R7" s="19" t="s">
        <v>54</v>
      </c>
      <c r="S7" s="256" t="s">
        <v>36</v>
      </c>
      <c r="T7" s="93" t="s">
        <v>140</v>
      </c>
      <c r="U7" s="93" t="s">
        <v>37</v>
      </c>
      <c r="V7" s="93" t="s">
        <v>37</v>
      </c>
      <c r="W7" s="93" t="s">
        <v>306</v>
      </c>
      <c r="X7" s="136" t="s">
        <v>40</v>
      </c>
      <c r="Y7" s="136" t="s">
        <v>40</v>
      </c>
      <c r="Z7" s="250" t="s">
        <v>40</v>
      </c>
      <c r="AA7" s="250" t="s">
        <v>40</v>
      </c>
      <c r="AB7" s="285" t="s">
        <v>126</v>
      </c>
      <c r="AC7" s="282" t="s">
        <v>307</v>
      </c>
      <c r="AD7" s="282" t="s">
        <v>307</v>
      </c>
      <c r="AE7" s="286" t="s">
        <v>308</v>
      </c>
      <c r="AF7" s="287" t="s">
        <v>297</v>
      </c>
      <c r="AG7" s="268" t="s">
        <v>298</v>
      </c>
      <c r="AH7" s="268" t="s">
        <v>299</v>
      </c>
      <c r="AI7" s="61" t="s">
        <v>119</v>
      </c>
      <c r="AJ7" s="61" t="s">
        <v>120</v>
      </c>
      <c r="AK7" s="61" t="s">
        <v>149</v>
      </c>
      <c r="AL7" s="61" t="s">
        <v>149</v>
      </c>
      <c r="AM7" s="61" t="s">
        <v>149</v>
      </c>
      <c r="AN7" s="61" t="s">
        <v>149</v>
      </c>
      <c r="AO7" s="51" t="s">
        <v>41</v>
      </c>
      <c r="AP7" s="51" t="s">
        <v>44</v>
      </c>
      <c r="AQ7" s="51" t="s">
        <v>46</v>
      </c>
      <c r="AR7" s="45"/>
      <c r="AS7" s="39" t="s">
        <v>56</v>
      </c>
      <c r="AT7" s="40" t="s">
        <v>57</v>
      </c>
      <c r="AU7" s="40" t="s">
        <v>105</v>
      </c>
      <c r="AV7" s="40" t="s">
        <v>59</v>
      </c>
      <c r="AW7" s="40" t="s">
        <v>58</v>
      </c>
      <c r="AX7" s="40" t="s">
        <v>55</v>
      </c>
      <c r="AY7" s="40" t="s">
        <v>55</v>
      </c>
      <c r="AZ7" s="44" t="s">
        <v>60</v>
      </c>
      <c r="BA7" s="46"/>
      <c r="BB7" s="38" t="s">
        <v>116</v>
      </c>
      <c r="BC7" s="47" t="s">
        <v>118</v>
      </c>
      <c r="BD7" s="38" t="s">
        <v>141</v>
      </c>
      <c r="BE7" s="38" t="s">
        <v>142</v>
      </c>
      <c r="BF7" s="38" t="s">
        <v>143</v>
      </c>
      <c r="BG7"/>
      <c r="BH7" s="38" t="s">
        <v>109</v>
      </c>
      <c r="BI7" s="38" t="s">
        <v>111</v>
      </c>
      <c r="BJ7"/>
      <c r="BK7" s="38" t="s">
        <v>267</v>
      </c>
      <c r="BL7" s="38" t="s">
        <v>283</v>
      </c>
      <c r="BM7" s="38" t="s">
        <v>284</v>
      </c>
      <c r="BN7" s="38" t="s">
        <v>274</v>
      </c>
      <c r="BO7" s="38" t="s">
        <v>275</v>
      </c>
      <c r="BP7" s="38" t="s">
        <v>281</v>
      </c>
      <c r="BQ7" s="38" t="s">
        <v>288</v>
      </c>
      <c r="BR7" s="38" t="s">
        <v>289</v>
      </c>
      <c r="BS7" s="38" t="s">
        <v>290</v>
      </c>
      <c r="BT7"/>
      <c r="BU7" s="19" t="s">
        <v>61</v>
      </c>
      <c r="BV7" s="19" t="s">
        <v>62</v>
      </c>
      <c r="BW7" s="19" t="s">
        <v>63</v>
      </c>
      <c r="BX7" s="19" t="s">
        <v>64</v>
      </c>
      <c r="BY7" s="19" t="s">
        <v>65</v>
      </c>
      <c r="BZ7" s="19" t="s">
        <v>66</v>
      </c>
      <c r="CA7" s="19" t="s">
        <v>67</v>
      </c>
      <c r="CB7" s="19" t="s">
        <v>68</v>
      </c>
      <c r="CC7" s="19" t="s">
        <v>69</v>
      </c>
      <c r="CD7" s="45" t="s">
        <v>50</v>
      </c>
      <c r="CE7" s="45" t="s">
        <v>51</v>
      </c>
      <c r="CF7" s="19" t="s">
        <v>70</v>
      </c>
      <c r="CG7" s="30" t="s">
        <v>61</v>
      </c>
      <c r="CH7" s="31" t="s">
        <v>62</v>
      </c>
      <c r="CI7" s="31" t="s">
        <v>63</v>
      </c>
      <c r="CJ7" s="31" t="s">
        <v>64</v>
      </c>
      <c r="CK7" s="31" t="s">
        <v>65</v>
      </c>
      <c r="CL7" s="31" t="s">
        <v>66</v>
      </c>
      <c r="CM7" s="31" t="s">
        <v>67</v>
      </c>
      <c r="CN7" s="31" t="s">
        <v>68</v>
      </c>
      <c r="CO7" s="32" t="s">
        <v>69</v>
      </c>
      <c r="CP7" s="32" t="s">
        <v>71</v>
      </c>
      <c r="CQ7" s="32" t="s">
        <v>72</v>
      </c>
      <c r="CR7" s="33"/>
      <c r="CS7" s="19" t="s">
        <v>61</v>
      </c>
      <c r="CT7" s="19" t="s">
        <v>64</v>
      </c>
      <c r="CU7" s="19" t="s">
        <v>66</v>
      </c>
      <c r="CV7" s="19" t="s">
        <v>70</v>
      </c>
      <c r="CW7" s="30" t="s">
        <v>61</v>
      </c>
      <c r="CX7" s="31" t="s">
        <v>64</v>
      </c>
      <c r="CY7" s="31" t="s">
        <v>66</v>
      </c>
      <c r="CZ7" s="30" t="s">
        <v>73</v>
      </c>
      <c r="DA7" s="31" t="s">
        <v>74</v>
      </c>
      <c r="DB7" s="32" t="s">
        <v>75</v>
      </c>
      <c r="DE7" s="19" t="s">
        <v>76</v>
      </c>
      <c r="DF7" s="19" t="s">
        <v>77</v>
      </c>
      <c r="DG7" s="19" t="s">
        <v>78</v>
      </c>
      <c r="DI7" s="19" t="s">
        <v>76</v>
      </c>
      <c r="DJ7" s="19" t="s">
        <v>77</v>
      </c>
      <c r="DK7" s="19"/>
      <c r="DL7" s="15" t="s">
        <v>79</v>
      </c>
      <c r="DM7" s="19" t="s">
        <v>80</v>
      </c>
      <c r="DN7" s="19" t="s">
        <v>81</v>
      </c>
      <c r="DO7" s="19" t="s">
        <v>82</v>
      </c>
      <c r="DP7" s="19" t="s">
        <v>83</v>
      </c>
      <c r="DS7" s="19" t="s">
        <v>84</v>
      </c>
      <c r="DT7" s="19" t="s">
        <v>85</v>
      </c>
      <c r="DU7" s="19" t="s">
        <v>86</v>
      </c>
      <c r="DV7" s="19" t="s">
        <v>83</v>
      </c>
      <c r="DW7" s="19" t="s">
        <v>87</v>
      </c>
      <c r="DY7" s="19" t="s">
        <v>87</v>
      </c>
      <c r="DZ7" s="19" t="s">
        <v>88</v>
      </c>
      <c r="EB7" s="19" t="s">
        <v>61</v>
      </c>
      <c r="EC7" s="19" t="s">
        <v>62</v>
      </c>
      <c r="ED7" s="19" t="s">
        <v>89</v>
      </c>
      <c r="EE7" s="19" t="s">
        <v>64</v>
      </c>
      <c r="EF7" s="19" t="s">
        <v>65</v>
      </c>
      <c r="EG7" s="19" t="s">
        <v>66</v>
      </c>
      <c r="EH7" s="19" t="s">
        <v>67</v>
      </c>
      <c r="EI7" s="19" t="s">
        <v>90</v>
      </c>
      <c r="EJ7" s="19" t="s">
        <v>91</v>
      </c>
      <c r="EK7" s="19" t="s">
        <v>92</v>
      </c>
      <c r="EL7" s="19" t="s">
        <v>93</v>
      </c>
      <c r="EM7" s="19" t="s">
        <v>70</v>
      </c>
      <c r="EN7" s="19" t="s">
        <v>61</v>
      </c>
      <c r="EO7" s="19" t="s">
        <v>62</v>
      </c>
      <c r="EP7" s="19" t="s">
        <v>89</v>
      </c>
      <c r="EQ7" s="19" t="s">
        <v>64</v>
      </c>
      <c r="ER7" s="19" t="s">
        <v>65</v>
      </c>
      <c r="ES7" s="19" t="s">
        <v>66</v>
      </c>
      <c r="ET7" s="19" t="s">
        <v>67</v>
      </c>
      <c r="EU7" s="19" t="s">
        <v>90</v>
      </c>
      <c r="EV7" s="19" t="s">
        <v>91</v>
      </c>
      <c r="EW7" s="19" t="s">
        <v>92</v>
      </c>
      <c r="EX7" s="19" t="s">
        <v>93</v>
      </c>
      <c r="EY7" s="19" t="s">
        <v>70</v>
      </c>
      <c r="EZ7" s="15" t="s">
        <v>94</v>
      </c>
      <c r="FA7" s="15" t="s">
        <v>95</v>
      </c>
      <c r="FB7" s="15" t="s">
        <v>96</v>
      </c>
      <c r="FC7" s="15" t="s">
        <v>97</v>
      </c>
      <c r="FD7" s="15" t="s">
        <v>98</v>
      </c>
      <c r="FE7" s="15" t="s">
        <v>31</v>
      </c>
      <c r="FF7" s="15" t="s">
        <v>99</v>
      </c>
      <c r="FG7" s="15" t="s">
        <v>100</v>
      </c>
      <c r="FH7" s="15" t="s">
        <v>101</v>
      </c>
      <c r="FI7" s="15" t="s">
        <v>102</v>
      </c>
      <c r="FJ7" s="15" t="s">
        <v>39</v>
      </c>
      <c r="FK7" s="15" t="s">
        <v>102</v>
      </c>
      <c r="FL7" s="15" t="s">
        <v>103</v>
      </c>
      <c r="FP7" s="15" t="s">
        <v>66</v>
      </c>
      <c r="FQ7" s="15" t="s">
        <v>64</v>
      </c>
      <c r="FR7" s="15" t="s">
        <v>41</v>
      </c>
      <c r="FS7" s="15" t="s">
        <v>53</v>
      </c>
      <c r="FT7" s="15" t="s">
        <v>46</v>
      </c>
      <c r="FU7" s="15" t="s">
        <v>41</v>
      </c>
      <c r="FV7" s="15" t="s">
        <v>53</v>
      </c>
      <c r="FW7" s="15" t="s">
        <v>46</v>
      </c>
      <c r="FY7" s="15" t="s">
        <v>41</v>
      </c>
      <c r="FZ7" s="15" t="s">
        <v>53</v>
      </c>
      <c r="GA7" s="15" t="s">
        <v>46</v>
      </c>
      <c r="GB7" s="15" t="s">
        <v>57</v>
      </c>
      <c r="GC7" s="15" t="s">
        <v>104</v>
      </c>
      <c r="GD7" s="15" t="s">
        <v>46</v>
      </c>
      <c r="GE7" s="258" t="s">
        <v>251</v>
      </c>
      <c r="GF7" s="258" t="s">
        <v>252</v>
      </c>
      <c r="GG7" s="258" t="s">
        <v>253</v>
      </c>
      <c r="GH7" s="258" t="s">
        <v>249</v>
      </c>
      <c r="GI7" s="258" t="s">
        <v>246</v>
      </c>
      <c r="GJ7" s="258" t="s">
        <v>247</v>
      </c>
      <c r="GK7" s="258" t="s">
        <v>248</v>
      </c>
      <c r="GL7" s="258" t="s">
        <v>245</v>
      </c>
      <c r="GM7" t="s">
        <v>256</v>
      </c>
      <c r="GN7" t="s">
        <v>257</v>
      </c>
      <c r="GO7" t="s">
        <v>258</v>
      </c>
      <c r="GP7" t="s">
        <v>259</v>
      </c>
      <c r="GQ7" t="s">
        <v>260</v>
      </c>
      <c r="GR7" t="s">
        <v>261</v>
      </c>
      <c r="GS7" t="s">
        <v>262</v>
      </c>
      <c r="GT7" t="s">
        <v>263</v>
      </c>
      <c r="GU7" s="258" t="s">
        <v>264</v>
      </c>
      <c r="GV7" s="258" t="s">
        <v>265</v>
      </c>
      <c r="GW7" s="258" t="s">
        <v>266</v>
      </c>
      <c r="GY7" s="78" t="s">
        <v>271</v>
      </c>
      <c r="GZ7" s="78" t="s">
        <v>272</v>
      </c>
      <c r="HA7" s="78" t="s">
        <v>273</v>
      </c>
      <c r="HB7" s="78"/>
      <c r="HC7" s="78" t="s">
        <v>271</v>
      </c>
      <c r="HD7" s="78" t="s">
        <v>272</v>
      </c>
      <c r="HE7" s="78" t="s">
        <v>273</v>
      </c>
      <c r="HF7" s="78" t="s">
        <v>279</v>
      </c>
      <c r="HG7" s="78" t="s">
        <v>280</v>
      </c>
      <c r="HH7" s="78" t="s">
        <v>276</v>
      </c>
      <c r="HI7" s="78" t="s">
        <v>277</v>
      </c>
      <c r="HJ7" s="78" t="s">
        <v>278</v>
      </c>
      <c r="HK7" s="78" t="s">
        <v>285</v>
      </c>
      <c r="HL7" s="78" t="s">
        <v>282</v>
      </c>
    </row>
    <row r="8" spans="1:220" s="2" customFormat="1" ht="20.25">
      <c r="A8" s="98" t="s">
        <v>155</v>
      </c>
      <c r="B8" s="81">
        <v>40</v>
      </c>
      <c r="C8" s="94">
        <f ca="1">E8</f>
        <v>-3.9055385107606946</v>
      </c>
      <c r="D8" s="57">
        <f t="shared" ref="D8:D40" ca="1" si="0">5.5976-24505/(U8+273.15)+0.8099*LOG(U8+273.15)+0.0937*(S8*10*1000-1)/(273.15+U8)+$D$4</f>
        <v>-3.8887302555765495</v>
      </c>
      <c r="E8" s="58">
        <f t="shared" ref="E8:E40" ca="1" si="1">12.985-25026/(U8+273.15)-1.1786*LOG(U8+273.15)+0.0458*(S8*10*1000-1)/(U8+273.15)+$E$4</f>
        <v>-3.9055385107606972</v>
      </c>
      <c r="F8" s="65">
        <v>46.912736842105254</v>
      </c>
      <c r="G8" s="65">
        <v>1.3430526315789475</v>
      </c>
      <c r="H8" s="65">
        <v>10.237421052631579</v>
      </c>
      <c r="I8" s="65">
        <v>10.633305263157897</v>
      </c>
      <c r="J8" s="65">
        <v>0.17236842105263153</v>
      </c>
      <c r="K8" s="65">
        <v>19.216684210526317</v>
      </c>
      <c r="L8" s="65">
        <v>9.4769473684210528</v>
      </c>
      <c r="M8" s="65">
        <v>1.2376315789473684</v>
      </c>
      <c r="N8" s="65">
        <v>0.35352631578947369</v>
      </c>
      <c r="O8" s="66">
        <v>0.12310526315789473</v>
      </c>
      <c r="P8" s="66">
        <v>0.13800000000000004</v>
      </c>
      <c r="Q8" s="66">
        <v>0.66905263157894745</v>
      </c>
      <c r="R8" s="3">
        <f>SUM(F8:P8)</f>
        <v>99.844778947368425</v>
      </c>
      <c r="S8" s="104">
        <f t="shared" ref="S8:S40" ca="1" si="2">AJ8</f>
        <v>2.4155137719346498</v>
      </c>
      <c r="T8" s="104">
        <f ca="1">AM8</f>
        <v>0.34568691488984837</v>
      </c>
      <c r="U8" s="105">
        <f t="shared" ref="U8:V20" ca="1" si="3">AY8</f>
        <v>1560.5708468935977</v>
      </c>
      <c r="V8" s="105">
        <f t="shared" ca="1" si="3"/>
        <v>1513.2208384979072</v>
      </c>
      <c r="W8" s="105">
        <f t="shared" ref="W8:W40" ca="1" si="4">DT8+54*S8-2*S8^2-19.93*Q8</f>
        <v>1523.9626226172445</v>
      </c>
      <c r="X8" s="101">
        <f t="shared" ref="X8:X40" ca="1" si="5">V8+674.3*(MAX(BD8:BI8))-13.3*S8</f>
        <v>1635.7477825016842</v>
      </c>
      <c r="Y8" s="101">
        <f t="shared" ref="Y8:Y40" ca="1" si="6">V8+674.3*(MIN(BD8:BI8))-13.3*S8</f>
        <v>1583.796712457492</v>
      </c>
      <c r="Z8" s="103">
        <f t="shared" ref="Z8:Z40" ca="1" si="7">V8+674.3*(BB8)-AC8*S8</f>
        <v>1623.6628387508274</v>
      </c>
      <c r="AA8" s="103">
        <f t="shared" ref="AA8:AA40" ca="1" si="8">V8+AH8-S8*AD8</f>
        <v>1596.3855898115692</v>
      </c>
      <c r="AB8" s="103">
        <f ca="1">SQRT((STDEV(X8:Z8))^2+(Z8-AA8)^2)</f>
        <v>38.510945258025217</v>
      </c>
      <c r="AC8" s="4">
        <v>13.3</v>
      </c>
      <c r="AD8" s="273">
        <f t="shared" ref="AD8:AD40" ca="1" si="9">10000*$AD$1*$AD$2*V8/AF8</f>
        <v>11.836638740470562</v>
      </c>
      <c r="AE8" s="3">
        <f t="shared" ref="AE8:AE40" ca="1" si="10">IF(V8&gt;1890,130,21.1+0.061*V8-7.6*10^-5*(V8-1600)^2)</f>
        <v>112.83414381017586</v>
      </c>
      <c r="AF8" s="3">
        <f t="shared" ref="AF8:AF40" ca="1" si="11">130+11.4*LN(V8)</f>
        <v>213.47075056743296</v>
      </c>
      <c r="AG8" s="2">
        <f t="shared" ref="AG8:AG40" ca="1" si="12">1000*AE8/AF8</f>
        <v>528.5695745681694</v>
      </c>
      <c r="AH8" s="2">
        <f t="shared" ref="AH8:AH40" ca="1" si="13">AG8*BB8</f>
        <v>111.75631520468312</v>
      </c>
      <c r="AI8" s="85">
        <f t="shared" ref="AI8:AI40" si="14">((3*CG8)^-2)*((1-CI8)^(7/2))*((1-CH8)^7)</f>
        <v>0.38910704037605715</v>
      </c>
      <c r="AJ8" s="85">
        <f t="shared" ref="AJ8:AJ40" ca="1" si="15">(231.5+0.186*V8+0.1244*V8*(LN(AI8))-528.5*AI8^0.5+103.3*CH8+69.9*(CO8+CN8)+77.3*CI8/(CI8+CG8))/10</f>
        <v>2.4155137719346613</v>
      </c>
      <c r="AK8" s="85">
        <f t="shared" ref="AK8:AK40" ca="1" si="16">0.0583+0.00252*F8+0.028*S8-0.0091*(M8+N8)-0.013383*D8</f>
        <v>0.28171782262455114</v>
      </c>
      <c r="AL8" s="86">
        <f t="shared" ref="AL8:AL40" ca="1" si="17">(CT8/CU8)/(CJ8/CL8)</f>
        <v>0.27195084344680398</v>
      </c>
      <c r="AM8" s="85">
        <f t="shared" ref="AM8:AM40" ca="1" si="18">0.21+0.008*S8+0.0025*F8-3.63*10^-4*(M8+N8)^2</f>
        <v>0.34568691488984837</v>
      </c>
      <c r="AN8" s="85">
        <f t="shared" ref="AN8:AN40" ca="1" si="19">FJ8</f>
        <v>0.34568691488984904</v>
      </c>
      <c r="AO8" s="96">
        <f t="shared" ref="AO8:AO20" ca="1" si="20">FY8</f>
        <v>41.266199952631275</v>
      </c>
      <c r="AP8" s="96">
        <f t="shared" ref="AP8:AP20" ca="1" si="21">FZ8</f>
        <v>7.6822613056845048</v>
      </c>
      <c r="AQ8" s="96">
        <f t="shared" ref="AQ8:AQ20" ca="1" si="22">GA8</f>
        <v>51.051538741684219</v>
      </c>
      <c r="AR8" s="2">
        <f ca="1">100*AQ8/40.3/(AQ8/40.3+AP8/71.85)</f>
        <v>92.216628623441807</v>
      </c>
      <c r="AS8" s="53">
        <f ca="1">100*(1/FH8/(1+1/FH8))</f>
        <v>80.375476077433277</v>
      </c>
      <c r="AT8" s="53">
        <f ca="1">100*CU8/(CU8+CT8)</f>
        <v>92.216628623441792</v>
      </c>
      <c r="AU8" s="63">
        <f t="shared" ref="AU8:AU40" ca="1" si="23">(CX8/CY8)/(FH8)</f>
        <v>0.34568691488984904</v>
      </c>
      <c r="AV8" s="53">
        <f t="shared" ref="AV8:AV20" si="24">(0.666-(-0.049*CK8+0.027*CJ8))/(1*CL8+0.259*CK8+0.299*CJ8)</f>
        <v>2.3487166583019974</v>
      </c>
      <c r="AW8" s="53">
        <f t="shared" ref="AW8:AW40" ca="1" si="25">CY8/CL8</f>
        <v>2.3796348843993322</v>
      </c>
      <c r="AX8" s="54">
        <f t="shared" ref="AX8:AX20" ca="1" si="26">(DE8/DF8)-273.15</f>
        <v>1566.9450528745874</v>
      </c>
      <c r="AY8" s="54">
        <f t="shared" ref="AY8:AY20" ca="1" si="27">(DK8-273.15)+54*DL8+2*DL8^2</f>
        <v>1560.570846893597</v>
      </c>
      <c r="AZ8" s="54">
        <f t="shared" ref="AZ8:AZ40" ca="1" si="28">(15294.6+1318.8*DL8+2.4834*DL8^2)/(8.048+2.8352*LN(DV8)+2.097*LN(1.5*DN8)+2.575*LN(3*DO8)-1.41*DM8+0.222*Q8+0.5*DL8)</f>
        <v>1513.2208384979069</v>
      </c>
      <c r="BA8" s="34"/>
      <c r="BB8" s="63">
        <f ca="1">AVERAGE(BI8,BE8)</f>
        <v>0.21143160821541093</v>
      </c>
      <c r="BC8" s="63">
        <f ca="1">STDEV(BE8,BI8)</f>
        <v>2.534582730680272E-2</v>
      </c>
      <c r="BD8" s="53">
        <f t="shared" ref="BD8:BD40" si="29">IF(-1.997+0.0316*F8-0.041*I8+0.0458*K8+0.0235*L8&lt;0,0,-1.997+0.0316*F8-0.041*I8+0.0458*K8+0.0235*L8)</f>
        <v>0.15230936842105239</v>
      </c>
      <c r="BE8" s="53">
        <f t="shared" ref="BE8:BE40" ca="1" si="30">IF(-2.95-0.0556*I8-0.176*N8+0.00274*V8-0.1446*S8&lt;0,0,-2.95-0.0556*I8-0.176*N8+0.00274*V8-0.1446*S8)</f>
        <v>0.19350940185198845</v>
      </c>
      <c r="BF8" s="53">
        <f t="shared" ref="BF8:BF40" ca="1" si="31">IF((V8+5.14*S8^2-132.9*S8-1120.7)/(465.3+233.7*S8^0.5+5.14*S8^2-132.9*S8)&lt;0,0,(V8+5.14*S8^2-132.9*S8-1120.7)/(465.3+233.7*S8^0.5+5.14*S8^2-132.9*S8))</f>
        <v>0.1888234296795582</v>
      </c>
      <c r="BG8"/>
      <c r="BH8" s="53">
        <f t="shared" ref="BH8:BH40" ca="1" si="32">IF((-117.2-1.62*S8+2.12*F8+4.2*K8-3.93*I8)/100&lt;0,0,(-117.2-1.62*S8+2.12*F8+4.2*K8-3.93*I8)/100)</f>
        <v>0.17263053794729011</v>
      </c>
      <c r="BI8" s="53">
        <f t="shared" ref="BI8:BI40" ca="1" si="33">IF((-105.1-2.34*S8+1.789*F8+3.84*K8-2.26*I8)/100&lt;0,0,(-105.1-2.34*S8+1.789*F8+3.84*K8-2.26*I8)/100)</f>
        <v>0.2293538145788343</v>
      </c>
      <c r="BJ8"/>
      <c r="BK8" s="53">
        <f ca="1">GW8</f>
        <v>0.46159437913772461</v>
      </c>
      <c r="BL8" s="53">
        <f t="shared" ref="BL8:BL40" si="34">(HL8*K8-38.12*HK8)/(HL8*K8-K8*HK8)</f>
        <v>0.17942092940965026</v>
      </c>
      <c r="BM8" s="53">
        <f>(0.98/BL8-0.9*(LN(BL8))^2+0.07*(LN(BL8)^4))^-1</f>
        <v>0.29279023353989908</v>
      </c>
      <c r="BN8" s="53">
        <f t="shared" ref="BN8:BN40" si="35">6.2819*HD8^2-14.7789*HD8^3+0.00825*(1/HD8)^2</f>
        <v>0.31372789862610473</v>
      </c>
      <c r="BO8" s="53">
        <f t="shared" ref="BO8:BO40" si="36">HH8+HI8*HC8+HJ8/HC8</f>
        <v>0.34893444092833259</v>
      </c>
      <c r="BP8" s="53">
        <f t="shared" ref="BP8:BP40" si="37">-2.5345+5.329*(HE8+0.348*HC8)+0.3012/(HE8+0.348*HC8)</f>
        <v>0.34222386346118838</v>
      </c>
      <c r="BQ8" s="54">
        <f t="shared" ref="BQ8:BQ40" si="38">1020+24.4*K8-0.16*K8^2</f>
        <v>1429.8021424093074</v>
      </c>
      <c r="BR8" s="262">
        <f t="shared" ref="BR8:BR40" si="39">(K8^-0.52)*EXP(0.13+0.15*K8)</f>
        <v>4.3732114231738892</v>
      </c>
      <c r="BS8" s="54">
        <f>EXP(7.12-0.06/(BR8^4)+0.187*LN(BR8))</f>
        <v>1629.0527906214711</v>
      </c>
      <c r="BT8" s="17"/>
      <c r="BU8" s="2">
        <f t="shared" ref="BU8:BU40" si="40">F8/60.08</f>
        <v>0.78083783026140574</v>
      </c>
      <c r="BV8" s="2">
        <f t="shared" ref="BV8:BV40" si="41">G8/79.9</f>
        <v>1.6809169356432382E-2</v>
      </c>
      <c r="BW8" s="2">
        <f t="shared" ref="BW8:BW40" si="42">H8*2/101.96</f>
        <v>0.20081249612851274</v>
      </c>
      <c r="BX8" s="2">
        <f t="shared" ref="BX8:BX40" si="43">I8/71.85</f>
        <v>0.14799311430978285</v>
      </c>
      <c r="BY8" s="2">
        <f t="shared" ref="BY8:BY40" si="44">J8/70.94</f>
        <v>2.4297775733384767E-3</v>
      </c>
      <c r="BZ8" s="2">
        <f t="shared" ref="BZ8:BZ40" si="45">K8/40.3</f>
        <v>0.47684079926864315</v>
      </c>
      <c r="CA8" s="2">
        <f t="shared" ref="CA8:CA40" si="46">L8/56.08</f>
        <v>0.16898978902319994</v>
      </c>
      <c r="CB8" s="2">
        <f t="shared" ref="CB8:CB40" si="47">M8*2/61.98</f>
        <v>3.9936482057030286E-2</v>
      </c>
      <c r="CC8" s="2">
        <f t="shared" ref="CC8:CC40" si="48">N8*2/94.2</f>
        <v>7.505866577271203E-3</v>
      </c>
      <c r="CD8" s="2">
        <f t="shared" ref="CD8:CD40" si="49">2*O8/151.99</f>
        <v>1.619912667384627E-3</v>
      </c>
      <c r="CE8" s="2">
        <f t="shared" ref="CE8:CE40" si="50">2*P8/141.94</f>
        <v>1.9444835846132175E-3</v>
      </c>
      <c r="CF8" s="2">
        <f t="shared" ref="CF8:CF20" si="51">SUM(BU8:CE8)</f>
        <v>1.8457197208076144</v>
      </c>
      <c r="CG8" s="2">
        <f t="shared" ref="CG8:CO20" si="52">BU8/$CF8</f>
        <v>0.42305330622990894</v>
      </c>
      <c r="CH8" s="2">
        <f t="shared" si="52"/>
        <v>9.1071082824413611E-3</v>
      </c>
      <c r="CI8" s="2">
        <f t="shared" si="52"/>
        <v>0.1087990196261462</v>
      </c>
      <c r="CJ8" s="2">
        <f t="shared" si="52"/>
        <v>8.0181791764692686E-2</v>
      </c>
      <c r="CK8" s="2">
        <f t="shared" si="52"/>
        <v>1.3164390811597883E-3</v>
      </c>
      <c r="CL8" s="2">
        <f t="shared" si="52"/>
        <v>0.25834951747711532</v>
      </c>
      <c r="CM8" s="2">
        <f t="shared" si="52"/>
        <v>9.1557665618513653E-2</v>
      </c>
      <c r="CN8" s="2">
        <f t="shared" si="52"/>
        <v>2.163734916347735E-2</v>
      </c>
      <c r="CO8" s="2">
        <f t="shared" si="52"/>
        <v>4.0666340033398626E-3</v>
      </c>
      <c r="CP8" s="2">
        <f t="shared" ref="CP8:CP20" si="53">CD8/CF8</f>
        <v>8.7765907744422696E-4</v>
      </c>
      <c r="CQ8" s="2">
        <f t="shared" ref="CQ8:CQ20" si="54">CE8/CF8</f>
        <v>1.0535096757607314E-3</v>
      </c>
      <c r="CS8" s="2">
        <f t="shared" ref="CS8:CS40" ca="1" si="55">AO8/60.08</f>
        <v>0.68685419361902922</v>
      </c>
      <c r="CT8" s="2">
        <f t="shared" ref="CT8:CT40" ca="1" si="56">AP8/71.85</f>
        <v>0.10692082540966605</v>
      </c>
      <c r="CU8" s="2">
        <f t="shared" ref="CU8:CU40" ca="1" si="57">AQ8/40.3</f>
        <v>1.2667875618283926</v>
      </c>
      <c r="CV8" s="2">
        <f t="shared" ref="CV8:CV40" ca="1" si="58">SUM(CS8:CU8)</f>
        <v>2.0605625808570878</v>
      </c>
      <c r="CW8" s="2">
        <f t="shared" ref="CW8:CW40" ca="1" si="59">CS8/$CV8</f>
        <v>0.33333333333333331</v>
      </c>
      <c r="CX8" s="2">
        <f t="shared" ref="CX8:CX40" ca="1" si="60">CT8/$CV8</f>
        <v>5.1889142510387863E-2</v>
      </c>
      <c r="CY8" s="2">
        <f t="shared" ref="CY8:CY40" ca="1" si="61">CU8/$CV8</f>
        <v>0.61477752415627884</v>
      </c>
      <c r="CZ8" s="2">
        <f t="shared" ref="CZ8:CZ40" si="62">CL8+CJ8+CM8+CK8</f>
        <v>0.43140541394148146</v>
      </c>
      <c r="DA8" s="2">
        <f t="shared" ref="DA8:DA40" si="63">CG8</f>
        <v>0.42305330622990894</v>
      </c>
      <c r="DB8" s="2">
        <f t="shared" ref="DB8:DB40" si="64">(7/2)*LN(1-CI8)+7*LN(1-CH8)</f>
        <v>-0.46719040465660355</v>
      </c>
      <c r="DD8" s="2">
        <f t="shared" ref="DD8:DD20" ca="1" si="65">(DE8/DF8)-273.15</f>
        <v>1566.9450528745874</v>
      </c>
      <c r="DE8" s="2">
        <f t="shared" ref="DE8:DE20" ca="1" si="66">113.1*1000/8.3144+(DL8*10^9-10^5)*4.11*(10^-6)/8.3144</f>
        <v>14796.900630550783</v>
      </c>
      <c r="DF8" s="2">
        <f t="shared" ref="DF8:DF40" si="67">52.05/8.3144+2*LN(AV8)+2*LN(1.5*CZ8)+2*LN(3*DA8)-DB8</f>
        <v>8.0413784100093864</v>
      </c>
      <c r="DG8" s="2">
        <f t="shared" ref="DG8:DG20" si="68">DI8/DJ8</f>
        <v>1691.6136896443138</v>
      </c>
      <c r="DH8" s="2">
        <f t="shared" ref="DH8:DH20" si="69">DG8-273.15</f>
        <v>1418.4636896443139</v>
      </c>
      <c r="DI8" s="2">
        <f>113.1*1000/8.3144+(0.0001*10^9-10^5)*4.11*(10^-6)/8.3144</f>
        <v>13602.905801982104</v>
      </c>
      <c r="DJ8" s="2">
        <f t="shared" ref="DJ8:DJ40" si="70">52.05/8.3144+2*LN(AV8)+2*LN(1.5*CZ8)+2*LN(3*DA8)-DB8</f>
        <v>8.0413784100093864</v>
      </c>
      <c r="DK8" s="2">
        <f t="shared" ref="DK8:DK20" si="71">DI8/DJ8</f>
        <v>1691.6136896443138</v>
      </c>
      <c r="DL8" s="2">
        <f t="shared" ref="DL8:DL40" ca="1" si="72">S8</f>
        <v>2.4155137719346498</v>
      </c>
      <c r="DM8" s="2">
        <f t="shared" ref="DM8:DM40" si="73">(7/2)*LN(1-CI8)+7*LN(1-CH8)</f>
        <v>-0.46719040465660355</v>
      </c>
      <c r="DN8" s="2">
        <f t="shared" ref="DN8:DN40" si="74">CL8+CJ8+CK8+CM8</f>
        <v>0.43140541394148146</v>
      </c>
      <c r="DO8" s="2">
        <f t="shared" ref="DO8:DO40" si="75">CG8</f>
        <v>0.42305330622990894</v>
      </c>
      <c r="DP8" s="2">
        <f t="shared" ref="DP8:DP40" si="76">(0.666-(-0.049*CK8+0.027*CJ8))/(CL8+0.259*CK8+0.299*CJ8)</f>
        <v>2.3487166583019974</v>
      </c>
      <c r="DQ8" s="2">
        <f t="shared" ref="DQ8:DQ40" ca="1" si="77">13603+4.943*10^-7*(S8*10^9-10^-5)</f>
        <v>14796.988457467292</v>
      </c>
      <c r="DR8" s="2">
        <f t="shared" ref="DR8:DR20" si="78">6.26+2*LN(DP8)+2*LN(1.5*DN8)+2*LN(3*DO8)-DM8</f>
        <v>8.0411551828372509</v>
      </c>
      <c r="DS8" s="2">
        <f t="shared" ref="DS8:DS20" ca="1" si="79">(DQ8/DR8)-273.15</f>
        <v>1567.0070571662945</v>
      </c>
      <c r="DT8" s="2">
        <f t="shared" ref="DT8:DT20" si="80">(13603+4.943*10^-7*(0.0001*10^9-10^-5))/(6.26+2*LN(DP8)+2*LN(1.5*DN8)+2*LN(3*DO8)-DM8)-273.15</f>
        <v>1418.5285114449539</v>
      </c>
      <c r="DU8" s="2">
        <f t="shared" ref="DU8:DU20" ca="1" si="81">DT8+54*DL8-2*DL8^2</f>
        <v>1537.296841564613</v>
      </c>
      <c r="DV8" s="9">
        <f t="shared" ref="DV8:DV40" ca="1" si="82">CY8/CL8</f>
        <v>2.3796348843993331</v>
      </c>
      <c r="DW8" s="2">
        <f t="shared" ref="DW8:DW40" ca="1" si="83">LN(DV8)+2.158+6.213*10^-2*Q8-5.115*10^-2*(M8+N8)</f>
        <v>2.9851275796828425</v>
      </c>
      <c r="DX8" s="2">
        <f t="shared" ref="DX8:DX20" ca="1" si="84">55.09*DL8+4430</f>
        <v>4563.0706536958796</v>
      </c>
      <c r="DY8" s="2">
        <f ca="1">DX8/DW8</f>
        <v>1528.601552829004</v>
      </c>
      <c r="DZ8" s="2">
        <f t="shared" ref="DZ8:DZ40" ca="1" si="85">CY8/(CL8*CG8^0.5)</f>
        <v>3.6585818886334702</v>
      </c>
      <c r="EB8" s="2">
        <f t="shared" ref="EB8:EB40" si="86">F8/60.08</f>
        <v>0.78083783026140574</v>
      </c>
      <c r="EC8" s="2">
        <f t="shared" ref="EC8:EC40" si="87">G8/79.9</f>
        <v>1.6809169356432382E-2</v>
      </c>
      <c r="ED8" s="2">
        <f t="shared" ref="ED8:ED40" si="88">H8/101.96</f>
        <v>0.10040624806425637</v>
      </c>
      <c r="EE8" s="2">
        <f t="shared" ref="EE8:EE40" si="89">I8/71.85</f>
        <v>0.14799311430978285</v>
      </c>
      <c r="EF8" s="2">
        <f t="shared" ref="EF8:EF40" si="90">J8/70.94</f>
        <v>2.4297775733384767E-3</v>
      </c>
      <c r="EG8" s="2">
        <f t="shared" ref="EG8:EG40" si="91">K8/40.3</f>
        <v>0.47684079926864315</v>
      </c>
      <c r="EH8" s="2">
        <f t="shared" ref="EH8:EH40" si="92">L8/56.08</f>
        <v>0.16898978902319994</v>
      </c>
      <c r="EI8" s="2">
        <f t="shared" ref="EI8:EI40" si="93">M8/61.98</f>
        <v>1.9968241028515143E-2</v>
      </c>
      <c r="EJ8" s="2">
        <f t="shared" ref="EJ8:EJ40" si="94">N8/94.2</f>
        <v>3.7529332886356015E-3</v>
      </c>
      <c r="EK8" s="2">
        <f t="shared" ref="EK8:EK40" si="95">O8/151.99</f>
        <v>8.099563336923135E-4</v>
      </c>
      <c r="EL8" s="2">
        <f t="shared" ref="EL8:EL40" si="96">P8/141.94</f>
        <v>9.7224179230660877E-4</v>
      </c>
      <c r="EM8" s="2">
        <f t="shared" ref="EM8:EM20" si="97">SUM(EB8:EL8)</f>
        <v>1.7198101003002086</v>
      </c>
      <c r="EN8" s="2">
        <f t="shared" ref="EN8:EX20" si="98">EB8/$EM8</f>
        <v>0.45402561022586352</v>
      </c>
      <c r="EO8" s="2">
        <f t="shared" si="98"/>
        <v>9.7738519813892165E-3</v>
      </c>
      <c r="EP8" s="2">
        <f t="shared" si="98"/>
        <v>5.8382171407604558E-2</v>
      </c>
      <c r="EQ8" s="2">
        <f t="shared" si="98"/>
        <v>8.6052009046783298E-2</v>
      </c>
      <c r="ER8" s="2">
        <f t="shared" si="98"/>
        <v>1.4128173644952641E-3</v>
      </c>
      <c r="ES8" s="2">
        <f t="shared" si="98"/>
        <v>0.27726363462187259</v>
      </c>
      <c r="ET8" s="2">
        <f t="shared" si="98"/>
        <v>9.8260725991608733E-2</v>
      </c>
      <c r="EU8" s="2">
        <f t="shared" si="98"/>
        <v>1.1610724361387053E-2</v>
      </c>
      <c r="EV8" s="2">
        <f t="shared" si="98"/>
        <v>2.1821788859017009E-3</v>
      </c>
      <c r="EW8" s="2">
        <f t="shared" si="98"/>
        <v>4.7095684200885215E-4</v>
      </c>
      <c r="EX8" s="2">
        <f t="shared" si="98"/>
        <v>5.6531927108515931E-4</v>
      </c>
      <c r="EY8" s="2">
        <f t="shared" ref="EY8:EY20" si="99">SUM(EN8:EX8)</f>
        <v>0.99999999999999989</v>
      </c>
      <c r="EZ8" s="2">
        <f t="shared" ref="EZ8:EZ40" si="100">IF(CI8&lt;CN8+CO8+2*(CM8+CL8),CI8,CN8+CO8+2*(CM8+CL8))</f>
        <v>0.1087990196261462</v>
      </c>
      <c r="FA8" s="2">
        <f t="shared" ref="FA8:FA40" si="101">CG8+CH8+EZ8</f>
        <v>0.54095943413849656</v>
      </c>
      <c r="FB8" s="2">
        <f t="shared" ref="FB8:FB40" si="102">2*CG8+2*CH8+1.5*CI8+CJ8+CK8+CL8+CM8+0.5*(CN8+CO8)+CP8*1.5+CQ8*5/2</f>
        <v>1.4757270267943783</v>
      </c>
      <c r="FC8" s="2">
        <f t="shared" ref="FC8:FC20" si="103">(2*FB8-4*FA8)</f>
        <v>0.78761631703477031</v>
      </c>
      <c r="FD8" s="2">
        <f t="shared" ref="FD8:FD20" si="104">FC8/FA8</f>
        <v>1.4559618842567863</v>
      </c>
      <c r="FE8" s="2">
        <f t="shared" ref="FE8:FE40" ca="1" si="105">EXP(-6.53+10813.8/(V8+273.15)+0.19*C8*2.3026+12.4*(EV8+EU8)-3.44*EP8/(EP8+EN8)+4.15*ET8)</f>
        <v>0.135568749316029</v>
      </c>
      <c r="FF8" s="2">
        <f t="shared" ref="FF8:FF20" ca="1" si="106">EQ8*FE8/(1+2*FE8)</f>
        <v>9.1775777641352092E-3</v>
      </c>
      <c r="FG8" s="2">
        <f t="shared" ref="FG8:FG20" ca="1" si="107">EQ8-2*FF8</f>
        <v>6.7696853518512873E-2</v>
      </c>
      <c r="FH8" s="2">
        <f t="shared" ref="FH8:FH20" ca="1" si="108">FG8/ES8</f>
        <v>0.24416059325932404</v>
      </c>
      <c r="FI8" s="2">
        <f ca="1">CX8/CY8</f>
        <v>8.4403122221490712E-2</v>
      </c>
      <c r="FJ8" s="2">
        <f ca="1">FI8/FH8</f>
        <v>0.34568691488984787</v>
      </c>
      <c r="FK8" s="2">
        <f ca="1">FQ8/FP8</f>
        <v>8.4403122221490712E-2</v>
      </c>
      <c r="FL8" s="2">
        <f t="shared" ref="FL8:FL40" ca="1" si="109">(FH8)*AM8</f>
        <v>8.4403122221490837E-2</v>
      </c>
      <c r="FP8" s="2">
        <f ca="1">2/(1+FL8)</f>
        <v>1.844332572468836</v>
      </c>
      <c r="FQ8" s="2">
        <f t="shared" ref="FQ8:FQ20" ca="1" si="110">2-FP8</f>
        <v>0.15566742753116403</v>
      </c>
      <c r="FR8" s="2">
        <f>1/3</f>
        <v>0.33333333333333331</v>
      </c>
      <c r="FS8" s="2">
        <f t="shared" ref="FS8:FS20" ca="1" si="111">FQ8/3</f>
        <v>5.1889142510388009E-2</v>
      </c>
      <c r="FT8" s="2">
        <f t="shared" ref="FT8:FT20" ca="1" si="112">FP8/3</f>
        <v>0.61477752415627862</v>
      </c>
      <c r="FU8" s="2">
        <f t="shared" ref="FU8:FU20" si="113">60.08*FR8</f>
        <v>20.026666666666664</v>
      </c>
      <c r="FV8" s="2">
        <f t="shared" ref="FV8:FV20" ca="1" si="114">71.85*FS8</f>
        <v>3.7282348893713779</v>
      </c>
      <c r="FW8" s="2">
        <f t="shared" ref="FW8:FW20" ca="1" si="115">40.3*FT8</f>
        <v>24.775534223498028</v>
      </c>
      <c r="FX8" s="2">
        <f t="shared" ref="FX8:FX20" ca="1" si="116">SUM(FU8:FW8)</f>
        <v>48.53043577953607</v>
      </c>
      <c r="FY8" s="2">
        <f t="shared" ref="FY8:GA20" ca="1" si="117">100*FU8/$FX8</f>
        <v>41.266199952631268</v>
      </c>
      <c r="FZ8" s="2">
        <f t="shared" ca="1" si="117"/>
        <v>7.6822613056845253</v>
      </c>
      <c r="GA8" s="2">
        <f t="shared" ca="1" si="117"/>
        <v>51.051538741684197</v>
      </c>
      <c r="GB8" s="2">
        <f t="shared" ref="GB8:GB20" ca="1" si="118">100*GA8/40.3/(GA8/40.3+FZ8/71.85)</f>
        <v>92.216628623441792</v>
      </c>
      <c r="GC8" s="2">
        <f t="shared" ref="GC8:GC40" ca="1" si="119">S8*10^9</f>
        <v>2415513771.9346499</v>
      </c>
      <c r="GD8" s="2">
        <f>$BK$5</f>
        <v>38</v>
      </c>
      <c r="GE8">
        <f ca="1">-5.1404654*S8^2+132.899012*S8+1120.66061</f>
        <v>1411.686895428405</v>
      </c>
      <c r="GF8">
        <f t="shared" ref="GF8:GF40" ca="1" si="120">1120+132.9*S8-5.104*S8^2</f>
        <v>1411.241436872715</v>
      </c>
      <c r="GG8">
        <f t="shared" ref="GG8:GG40" ca="1" si="121">1070+14.93*GD8+72.23*S8-3.249*S8^2</f>
        <v>1792.8555974108031</v>
      </c>
      <c r="GH8" s="2">
        <f t="shared" ref="GH8:GH40" ca="1" si="122">(U8-GF8)/(GG8-GF8)</f>
        <v>0.39130992888294169</v>
      </c>
      <c r="GI8" s="2">
        <f t="shared" ref="GI8:GI40" ca="1" si="123">2.195-0.302*S8</f>
        <v>1.4655148408757355</v>
      </c>
      <c r="GJ8" s="2">
        <f t="shared" ref="GJ8:GJ40" ca="1" si="124">-3.474+0.572*S8</f>
        <v>-2.0923261224533807</v>
      </c>
      <c r="GK8" s="2">
        <f t="shared" ref="GK8:GK40" ca="1" si="125">2.288-0.271*S8</f>
        <v>1.6333957678057098</v>
      </c>
      <c r="GL8" s="2">
        <f ca="1">-GH8</f>
        <v>-0.39130992888294169</v>
      </c>
      <c r="GM8">
        <f ca="1">-GJ8/(3*GK8)</f>
        <v>0.42698900937813211</v>
      </c>
      <c r="GN8">
        <f ca="1">(-GJ8^3)/(27*(GK8^3))</f>
        <v>7.7848471427451854E-2</v>
      </c>
      <c r="GO8">
        <f ca="1">(GJ8*GI8)/(6*(GK8^2))</f>
        <v>-0.19155147284822469</v>
      </c>
      <c r="GP8">
        <f ca="1">GL8/(2*GK8)</f>
        <v>-0.11978417496716799</v>
      </c>
      <c r="GQ8">
        <f ca="1">GI8/(3*GK8)</f>
        <v>0.29907322927304503</v>
      </c>
      <c r="GR8">
        <f ca="1">(GJ8^2)/(9*(GK8^2))</f>
        <v>0.18231961412971862</v>
      </c>
      <c r="GS8">
        <f ca="1">GN8+GO8-GP8</f>
        <v>6.0811735463951605E-3</v>
      </c>
      <c r="GT8">
        <f ca="1">(GQ8-GR8)^3</f>
        <v>1.5915160057637272E-3</v>
      </c>
      <c r="GU8">
        <f ca="1">(GS8+SQRT(GS8^2+GT8))^(1/3)</f>
        <v>0.35943277424256631</v>
      </c>
      <c r="GV8">
        <f ca="1">(GS8-(SQRT(GS8^2+GT8)))^(1/3)</f>
        <v>-0.32482740448297082</v>
      </c>
      <c r="GW8">
        <f ca="1">GU8+GV8+GM8</f>
        <v>0.46159437913772761</v>
      </c>
      <c r="GY8" s="15">
        <f>1.5*EO8+0.5*(EP8+EW8+EQ8+ER8+ES8)-0.5*(ET8+EU8)+3*EV8</f>
        <v>0.17806238409467331</v>
      </c>
      <c r="GZ8" s="2">
        <f>EO8+EP8+EW8</f>
        <v>6.8626980231002624E-2</v>
      </c>
      <c r="HA8" s="2">
        <f>EN8-0.5*(EP8+EW8+EQ8+ER8+ES8)-1.5*ET8-3*EU8</f>
        <v>6.0011553512906976E-2</v>
      </c>
      <c r="HB8" s="2">
        <f>SUM(GY8:HA8)</f>
        <v>0.30670091783858294</v>
      </c>
      <c r="HC8" s="2">
        <f>GY8/$HB8</f>
        <v>0.58057336557560535</v>
      </c>
      <c r="HD8" s="2">
        <f t="shared" ref="HD8:HE8" si="126">GZ8/$HB8</f>
        <v>0.22375863989791217</v>
      </c>
      <c r="HE8" s="2">
        <f t="shared" si="126"/>
        <v>0.1956679945264824</v>
      </c>
      <c r="HF8" s="2">
        <f t="shared" ref="HF8:HF40" si="127">-1.994+2.25*HE8+0.041/HE8</f>
        <v>-1.3442084002433676</v>
      </c>
      <c r="HG8" s="2">
        <f t="shared" ref="HG8:HG40" si="128">-1.183-3.005*HE8+13.774*HE8^2-12.615*HE8^3</f>
        <v>-1.3381346807651098</v>
      </c>
      <c r="HH8" s="2">
        <f>(HF8+HG8)/2</f>
        <v>-1.3411715405042388</v>
      </c>
      <c r="HI8" s="2">
        <f t="shared" ref="HI8:HI40" si="129">(HE8^0.245)*EXP(0.931+1.623*HE8)</f>
        <v>2.3370555955311452</v>
      </c>
      <c r="HJ8" s="2">
        <f t="shared" ref="HJ8:HJ40" si="130">(HE8^0.577)*EXP(0.769-7.514*HE8)</f>
        <v>0.19348986199751073</v>
      </c>
      <c r="HK8" s="2">
        <f t="shared" ref="HK8:HK40" si="131">0.3813-0.7896/K8+1.0389/(K8^2)</f>
        <v>0.34302401047420095</v>
      </c>
      <c r="HL8" s="2">
        <f t="shared" ref="HL8:HL40" si="132">$BL$5/I8</f>
        <v>0.7542339659698819</v>
      </c>
    </row>
    <row r="9" spans="1:220" s="2" customFormat="1" ht="20.25">
      <c r="A9" s="98" t="s">
        <v>156</v>
      </c>
      <c r="B9" s="81">
        <v>62</v>
      </c>
      <c r="C9" s="94">
        <f t="shared" ref="C9:C20" ca="1" si="133">E9</f>
        <v>-3.7289658534995209</v>
      </c>
      <c r="D9" s="57">
        <f t="shared" ca="1" si="0"/>
        <v>-3.646058328626677</v>
      </c>
      <c r="E9" s="58">
        <f t="shared" ca="1" si="1"/>
        <v>-3.7289658534995174</v>
      </c>
      <c r="F9" s="65">
        <v>45.721249999999998</v>
      </c>
      <c r="G9" s="65">
        <v>1.2921499999999999</v>
      </c>
      <c r="H9" s="65">
        <v>10.884300000000001</v>
      </c>
      <c r="I9" s="65">
        <v>11.181815</v>
      </c>
      <c r="J9" s="65">
        <v>0.18089999999999998</v>
      </c>
      <c r="K9" s="65">
        <v>19.108049999999999</v>
      </c>
      <c r="L9" s="65">
        <v>9.7714999999999996</v>
      </c>
      <c r="M9" s="65">
        <v>1.2752999999999999</v>
      </c>
      <c r="N9" s="65">
        <v>0.2311</v>
      </c>
      <c r="O9" s="66">
        <v>9.4E-2</v>
      </c>
      <c r="P9" s="66">
        <v>0.1348</v>
      </c>
      <c r="Q9" s="66">
        <v>0.64434999999999998</v>
      </c>
      <c r="R9" s="3">
        <f t="shared" ref="R9:R20" si="134">SUM(F9:P9)</f>
        <v>99.875164999999981</v>
      </c>
      <c r="S9" s="104">
        <f t="shared" ca="1" si="2"/>
        <v>2.6725150612717758</v>
      </c>
      <c r="T9" s="104">
        <f t="shared" ref="T9:T40" ca="1" si="135">AM9</f>
        <v>0.34485951102169426</v>
      </c>
      <c r="U9" s="105">
        <f t="shared" ca="1" si="3"/>
        <v>1577.2524642179842</v>
      </c>
      <c r="V9" s="105">
        <f t="shared" ca="1" si="3"/>
        <v>1525.9730079708017</v>
      </c>
      <c r="W9" s="105">
        <f t="shared" ca="1" si="4"/>
        <v>1535.9060559505799</v>
      </c>
      <c r="X9" s="101">
        <f t="shared" ca="1" si="5"/>
        <v>1615.4818156378528</v>
      </c>
      <c r="Y9" s="101">
        <f t="shared" ca="1" si="6"/>
        <v>1553.8909933133868</v>
      </c>
      <c r="Z9" s="103">
        <f t="shared" ca="1" si="7"/>
        <v>1614.4303927676592</v>
      </c>
      <c r="AA9" s="103">
        <f t="shared" ca="1" si="8"/>
        <v>1592.0500202760104</v>
      </c>
      <c r="AB9" s="103">
        <f t="shared" ref="AB9:AB40" ca="1" si="136">SQRT((STDEV(X9:Z9))^2+(Z9-AA9)^2)</f>
        <v>41.762902613303361</v>
      </c>
      <c r="AC9" s="4">
        <v>13.3</v>
      </c>
      <c r="AD9" s="273">
        <f t="shared" ca="1" si="9"/>
        <v>11.931041197056825</v>
      </c>
      <c r="AE9" s="3">
        <f t="shared" ca="1" si="10"/>
        <v>113.76787382450318</v>
      </c>
      <c r="AF9" s="3">
        <f t="shared" ca="1" si="11"/>
        <v>213.566417768988</v>
      </c>
      <c r="AG9" s="2">
        <f t="shared" ca="1" si="12"/>
        <v>532.70488409635823</v>
      </c>
      <c r="AH9" s="2">
        <f t="shared" ca="1" si="13"/>
        <v>97.962899600997133</v>
      </c>
      <c r="AI9" s="85">
        <f t="shared" si="14"/>
        <v>0.4000631728218606</v>
      </c>
      <c r="AJ9" s="85">
        <f t="shared" ca="1" si="15"/>
        <v>2.6725150612717758</v>
      </c>
      <c r="AK9" s="85">
        <f t="shared" ca="1" si="16"/>
        <v>0.28343493032762052</v>
      </c>
      <c r="AL9" s="86">
        <f t="shared" ca="1" si="17"/>
        <v>0.27057985765943671</v>
      </c>
      <c r="AM9" s="85">
        <f t="shared" ca="1" si="18"/>
        <v>0.34485951102169421</v>
      </c>
      <c r="AN9" s="85">
        <f t="shared" ca="1" si="19"/>
        <v>0.3448595110216936</v>
      </c>
      <c r="AO9" s="96">
        <f t="shared" ca="1" si="20"/>
        <v>41.199529888670114</v>
      </c>
      <c r="AP9" s="96">
        <f t="shared" ca="1" si="21"/>
        <v>8.0377785871171401</v>
      </c>
      <c r="AQ9" s="96">
        <f t="shared" ca="1" si="22"/>
        <v>50.762691524212741</v>
      </c>
      <c r="AR9" s="2">
        <f t="shared" ref="AR9:AR19" ca="1" si="137">100*AQ9/40.3/(AQ9/40.3+AP9/71.85)</f>
        <v>91.843254085785077</v>
      </c>
      <c r="AS9" s="53">
        <f t="shared" ref="AS9:AS72" ca="1" si="138">100*(1/FH9/(1+1/FH9))</f>
        <v>79.520979374288927</v>
      </c>
      <c r="AT9" s="53">
        <f t="shared" ref="AT9:AT40" ca="1" si="139">100*CU9/(CU9+CT9)</f>
        <v>91.843254085785105</v>
      </c>
      <c r="AU9" s="63">
        <f t="shared" ca="1" si="23"/>
        <v>0.3448595110216936</v>
      </c>
      <c r="AV9" s="53">
        <f t="shared" si="24"/>
        <v>2.3509720538674661</v>
      </c>
      <c r="AW9" s="53">
        <f t="shared" ca="1" si="25"/>
        <v>2.3844030161290863</v>
      </c>
      <c r="AX9" s="54">
        <f t="shared" ca="1" si="26"/>
        <v>1582.9501208147799</v>
      </c>
      <c r="AY9" s="54">
        <f t="shared" ca="1" si="27"/>
        <v>1577.2524642179842</v>
      </c>
      <c r="AZ9" s="54">
        <f t="shared" ca="1" si="28"/>
        <v>1525.9730079708017</v>
      </c>
      <c r="BA9" s="34"/>
      <c r="BB9" s="63">
        <f t="shared" ref="BB9:BB20" ca="1" si="140">AVERAGE(BI9,BE9)</f>
        <v>0.18389713052316856</v>
      </c>
      <c r="BC9" s="63">
        <f t="shared" ref="BC9:BC20" ca="1" si="141">STDEV(BE9,BI9)</f>
        <v>2.2051556915565936E-3</v>
      </c>
      <c r="BD9" s="53">
        <f t="shared" si="29"/>
        <v>9.411602499999977E-2</v>
      </c>
      <c r="BE9" s="53">
        <f t="shared" ca="1" si="30"/>
        <v>0.18233784998009761</v>
      </c>
      <c r="BF9" s="53">
        <f t="shared" ca="1" si="31"/>
        <v>0.16413336760096692</v>
      </c>
      <c r="BG9"/>
      <c r="BH9" s="53">
        <f t="shared" ca="1" si="32"/>
        <v>0.11708852650739722</v>
      </c>
      <c r="BI9" s="53">
        <f t="shared" ca="1" si="33"/>
        <v>0.18545641106624047</v>
      </c>
      <c r="BJ9"/>
      <c r="BK9" s="53">
        <f t="shared" ref="BK9:BK40" ca="1" si="142">GW9</f>
        <v>0.45486102913850995</v>
      </c>
      <c r="BL9" s="53">
        <f t="shared" si="34"/>
        <v>8.8979587271828836E-2</v>
      </c>
      <c r="BM9" s="53">
        <f t="shared" ref="BM9:BM40" si="143">(0.98/BL9-0.9*(LN(BL9))^2+0.07*(LN(BL9)^4))^-1</f>
        <v>0.12278865563748664</v>
      </c>
      <c r="BN9" s="53">
        <f t="shared" si="35"/>
        <v>0.29421846603113483</v>
      </c>
      <c r="BO9" s="53">
        <f t="shared" si="36"/>
        <v>0.2168492360269681</v>
      </c>
      <c r="BP9" s="53">
        <f t="shared" si="37"/>
        <v>0.19352724151716283</v>
      </c>
      <c r="BQ9" s="54">
        <f t="shared" si="38"/>
        <v>1427.8176080316</v>
      </c>
      <c r="BR9" s="262">
        <f t="shared" si="39"/>
        <v>4.3152292409187689</v>
      </c>
      <c r="BS9" s="54">
        <f t="shared" ref="BS9:BS40" si="144">EXP(7.12-0.06/(BR9^4)+0.187*LN(BR9))</f>
        <v>1624.9772560087879</v>
      </c>
      <c r="BT9" s="17"/>
      <c r="BU9" s="2">
        <f t="shared" si="40"/>
        <v>0.76100615845539277</v>
      </c>
      <c r="BV9" s="2">
        <f t="shared" si="41"/>
        <v>1.61720901126408E-2</v>
      </c>
      <c r="BW9" s="2">
        <f t="shared" si="42"/>
        <v>0.21350137308748532</v>
      </c>
      <c r="BX9" s="2">
        <f t="shared" si="43"/>
        <v>0.15562720946416148</v>
      </c>
      <c r="BY9" s="2">
        <f t="shared" si="44"/>
        <v>2.5500422892585279E-3</v>
      </c>
      <c r="BZ9" s="2">
        <f t="shared" si="45"/>
        <v>0.47414516129032258</v>
      </c>
      <c r="CA9" s="2">
        <f t="shared" si="46"/>
        <v>0.17424215406562055</v>
      </c>
      <c r="CB9" s="2">
        <f t="shared" si="47"/>
        <v>4.1151984511132625E-2</v>
      </c>
      <c r="CC9" s="2">
        <f t="shared" si="48"/>
        <v>4.9065817409766456E-3</v>
      </c>
      <c r="CD9" s="2">
        <f t="shared" si="49"/>
        <v>1.2369234818080136E-3</v>
      </c>
      <c r="CE9" s="2">
        <f t="shared" si="50"/>
        <v>1.8993941101874033E-3</v>
      </c>
      <c r="CF9" s="2">
        <f t="shared" si="51"/>
        <v>1.8464390726089863</v>
      </c>
      <c r="CG9" s="2">
        <f t="shared" si="52"/>
        <v>0.41214799326148588</v>
      </c>
      <c r="CH9" s="2">
        <f t="shared" si="52"/>
        <v>8.7585289720878354E-3</v>
      </c>
      <c r="CI9" s="2">
        <f t="shared" si="52"/>
        <v>0.11562871272313989</v>
      </c>
      <c r="CJ9" s="2">
        <f t="shared" si="52"/>
        <v>8.428504994982744E-2</v>
      </c>
      <c r="CK9" s="2">
        <f t="shared" si="52"/>
        <v>1.3810595362106167E-3</v>
      </c>
      <c r="CL9" s="2">
        <f t="shared" si="52"/>
        <v>0.25678895573866062</v>
      </c>
      <c r="CM9" s="2">
        <f t="shared" si="52"/>
        <v>9.4366587368311813E-2</v>
      </c>
      <c r="CN9" s="2">
        <f t="shared" si="52"/>
        <v>2.228721495423382E-2</v>
      </c>
      <c r="CO9" s="2">
        <f t="shared" si="52"/>
        <v>2.65732122644249E-3</v>
      </c>
      <c r="CP9" s="2">
        <f t="shared" si="53"/>
        <v>6.6989672183456468E-4</v>
      </c>
      <c r="CQ9" s="2">
        <f t="shared" si="54"/>
        <v>1.0286795477651978E-3</v>
      </c>
      <c r="CS9" s="2">
        <f t="shared" ca="1" si="55"/>
        <v>0.68574450547054122</v>
      </c>
      <c r="CT9" s="2">
        <f t="shared" ca="1" si="56"/>
        <v>0.1118688738638433</v>
      </c>
      <c r="CU9" s="2">
        <f t="shared" ca="1" si="57"/>
        <v>1.2596201370772393</v>
      </c>
      <c r="CV9" s="2">
        <f t="shared" ca="1" si="58"/>
        <v>2.0572335164116238</v>
      </c>
      <c r="CW9" s="2">
        <f t="shared" ca="1" si="59"/>
        <v>0.33333333333333331</v>
      </c>
      <c r="CX9" s="2">
        <f t="shared" ca="1" si="60"/>
        <v>5.4378306094766099E-2</v>
      </c>
      <c r="CY9" s="2">
        <f t="shared" ca="1" si="61"/>
        <v>0.61228836057190061</v>
      </c>
      <c r="CZ9" s="2">
        <f t="shared" si="62"/>
        <v>0.43682165259301048</v>
      </c>
      <c r="DA9" s="2">
        <f t="shared" si="63"/>
        <v>0.41214799326148588</v>
      </c>
      <c r="DB9" s="2">
        <f t="shared" si="64"/>
        <v>-0.49165380932649055</v>
      </c>
      <c r="DD9" s="2">
        <f t="shared" ca="1" si="65"/>
        <v>1582.9501208147799</v>
      </c>
      <c r="DE9" s="2">
        <f t="shared" ca="1" si="66"/>
        <v>14923.942305136514</v>
      </c>
      <c r="DF9" s="2">
        <f t="shared" si="67"/>
        <v>8.0404834511757315</v>
      </c>
      <c r="DG9" s="2">
        <f t="shared" si="68"/>
        <v>1691.8019774038587</v>
      </c>
      <c r="DH9" s="2">
        <f t="shared" si="69"/>
        <v>1418.6519774038588</v>
      </c>
      <c r="DI9" s="2">
        <f t="shared" ref="DI9:DI27" si="145">113.1*1000/8.3144+(0.0001*10^9-10^5)*4.11*(10^-6)/8.3144</f>
        <v>13602.905801982104</v>
      </c>
      <c r="DJ9" s="2">
        <f t="shared" si="70"/>
        <v>8.0404834511757315</v>
      </c>
      <c r="DK9" s="2">
        <f t="shared" si="71"/>
        <v>1691.8019774038587</v>
      </c>
      <c r="DL9" s="2">
        <f t="shared" ca="1" si="72"/>
        <v>2.6725150612717758</v>
      </c>
      <c r="DM9" s="2">
        <f t="shared" si="73"/>
        <v>-0.49165380932649055</v>
      </c>
      <c r="DN9" s="2">
        <f t="shared" si="74"/>
        <v>0.43682165259301048</v>
      </c>
      <c r="DO9" s="2">
        <f t="shared" si="75"/>
        <v>0.41214799326148588</v>
      </c>
      <c r="DP9" s="2">
        <f t="shared" si="76"/>
        <v>2.3509720538674661</v>
      </c>
      <c r="DQ9" s="2">
        <f t="shared" ca="1" si="77"/>
        <v>14924.024194786634</v>
      </c>
      <c r="DR9" s="2">
        <f t="shared" si="78"/>
        <v>8.0402602240035961</v>
      </c>
      <c r="DS9" s="2">
        <f t="shared" ca="1" si="79"/>
        <v>1583.0118379256028</v>
      </c>
      <c r="DT9" s="2">
        <f t="shared" si="80"/>
        <v>1418.7168116473531</v>
      </c>
      <c r="DU9" s="2">
        <f t="shared" ca="1" si="81"/>
        <v>1548.7479514505799</v>
      </c>
      <c r="DV9" s="9">
        <f t="shared" ca="1" si="82"/>
        <v>2.3844030161290855</v>
      </c>
      <c r="DW9" s="2">
        <f t="shared" ca="1" si="83"/>
        <v>2.9899298908054135</v>
      </c>
      <c r="DX9" s="2">
        <f t="shared" ca="1" si="84"/>
        <v>4577.228854725462</v>
      </c>
      <c r="DY9" s="2">
        <f t="shared" ref="DY9:DY20" ca="1" si="146">DX9/DW9</f>
        <v>1530.8816667579015</v>
      </c>
      <c r="DZ9" s="2">
        <f t="shared" ca="1" si="85"/>
        <v>3.7140955103340056</v>
      </c>
      <c r="EB9" s="2">
        <f t="shared" si="86"/>
        <v>0.76100615845539277</v>
      </c>
      <c r="EC9" s="2">
        <f t="shared" si="87"/>
        <v>1.61720901126408E-2</v>
      </c>
      <c r="ED9" s="2">
        <f t="shared" si="88"/>
        <v>0.10675068654374266</v>
      </c>
      <c r="EE9" s="2">
        <f t="shared" si="89"/>
        <v>0.15562720946416148</v>
      </c>
      <c r="EF9" s="2">
        <f t="shared" si="90"/>
        <v>2.5500422892585279E-3</v>
      </c>
      <c r="EG9" s="2">
        <f t="shared" si="91"/>
        <v>0.47414516129032258</v>
      </c>
      <c r="EH9" s="2">
        <f t="shared" si="92"/>
        <v>0.17424215406562055</v>
      </c>
      <c r="EI9" s="2">
        <f t="shared" si="93"/>
        <v>2.0575992255566312E-2</v>
      </c>
      <c r="EJ9" s="2">
        <f t="shared" si="94"/>
        <v>2.4532908704883228E-3</v>
      </c>
      <c r="EK9" s="2">
        <f t="shared" si="95"/>
        <v>6.1846174090400682E-4</v>
      </c>
      <c r="EL9" s="2">
        <f t="shared" si="96"/>
        <v>9.4969705509370163E-4</v>
      </c>
      <c r="EM9" s="2">
        <f t="shared" si="97"/>
        <v>1.7150909441431916</v>
      </c>
      <c r="EN9" s="2">
        <f t="shared" si="98"/>
        <v>0.44371183991970103</v>
      </c>
      <c r="EO9" s="2">
        <f t="shared" si="98"/>
        <v>9.4292901305708283E-3</v>
      </c>
      <c r="EP9" s="2">
        <f t="shared" si="98"/>
        <v>6.2241997666818843E-2</v>
      </c>
      <c r="EQ9" s="2">
        <f t="shared" si="98"/>
        <v>9.0739916734799267E-2</v>
      </c>
      <c r="ER9" s="2">
        <f t="shared" si="98"/>
        <v>1.4868262805343266E-3</v>
      </c>
      <c r="ES9" s="2">
        <f t="shared" si="98"/>
        <v>0.27645482177459191</v>
      </c>
      <c r="ET9" s="2">
        <f t="shared" si="98"/>
        <v>0.10159353628484508</v>
      </c>
      <c r="EU9" s="2">
        <f t="shared" si="98"/>
        <v>1.1997026936577679E-2</v>
      </c>
      <c r="EV9" s="2">
        <f t="shared" si="98"/>
        <v>1.4304144505374401E-3</v>
      </c>
      <c r="EW9" s="2">
        <f t="shared" si="98"/>
        <v>3.6059996877481728E-4</v>
      </c>
      <c r="EX9" s="2">
        <f t="shared" si="98"/>
        <v>5.5372985224882174E-4</v>
      </c>
      <c r="EY9" s="2">
        <f t="shared" si="99"/>
        <v>1.0000000000000002</v>
      </c>
      <c r="EZ9" s="2">
        <f t="shared" si="100"/>
        <v>0.11562871272313989</v>
      </c>
      <c r="FA9" s="2">
        <f t="shared" si="101"/>
        <v>0.53653523495671362</v>
      </c>
      <c r="FB9" s="2">
        <f t="shared" si="102"/>
        <v>1.4681265781873705</v>
      </c>
      <c r="FC9" s="2">
        <f t="shared" si="103"/>
        <v>0.79011221654788644</v>
      </c>
      <c r="FD9" s="2">
        <f t="shared" si="104"/>
        <v>1.4726194387058862</v>
      </c>
      <c r="FE9" s="2">
        <f t="shared" ca="1" si="105"/>
        <v>0.13726013089959638</v>
      </c>
      <c r="FF9" s="2">
        <f t="shared" ca="1" si="106"/>
        <v>9.7722831265583815E-3</v>
      </c>
      <c r="FG9" s="2">
        <f t="shared" ca="1" si="107"/>
        <v>7.1195350481682504E-2</v>
      </c>
      <c r="FH9" s="2">
        <f t="shared" ca="1" si="108"/>
        <v>0.25752978379856872</v>
      </c>
      <c r="FI9" s="2">
        <f t="shared" ref="FI9:FI40" ca="1" si="147">CX9/CY9</f>
        <v>8.8811595314297165E-2</v>
      </c>
      <c r="FJ9" s="2">
        <f t="shared" ref="FJ9:FJ20" ca="1" si="148">FI9/FH9</f>
        <v>0.34485951102169471</v>
      </c>
      <c r="FK9" s="2">
        <f t="shared" ref="FK9:FK20" ca="1" si="149">FQ9/FP9</f>
        <v>8.8811595314297151E-2</v>
      </c>
      <c r="FL9" s="2">
        <f t="shared" ca="1" si="109"/>
        <v>8.881159531429704E-2</v>
      </c>
      <c r="FP9" s="2">
        <f t="shared" ref="FP9:FP20" ca="1" si="150">2/(1+FL9)</f>
        <v>1.8368650817157022</v>
      </c>
      <c r="FQ9" s="2">
        <f t="shared" ca="1" si="110"/>
        <v>0.16313491828429783</v>
      </c>
      <c r="FR9" s="2">
        <f t="shared" ref="FR9:FR27" si="151">1/3</f>
        <v>0.33333333333333331</v>
      </c>
      <c r="FS9" s="2">
        <f t="shared" ca="1" si="111"/>
        <v>5.4378306094765939E-2</v>
      </c>
      <c r="FT9" s="2">
        <f t="shared" ca="1" si="112"/>
        <v>0.61228836057190072</v>
      </c>
      <c r="FU9" s="2">
        <f t="shared" si="113"/>
        <v>20.026666666666664</v>
      </c>
      <c r="FV9" s="2">
        <f t="shared" ca="1" si="114"/>
        <v>3.9070812929089325</v>
      </c>
      <c r="FW9" s="2">
        <f t="shared" ca="1" si="115"/>
        <v>24.675220931047598</v>
      </c>
      <c r="FX9" s="2">
        <f t="shared" ca="1" si="116"/>
        <v>48.608968890623196</v>
      </c>
      <c r="FY9" s="2">
        <f t="shared" ca="1" si="117"/>
        <v>41.199529888670121</v>
      </c>
      <c r="FZ9" s="2">
        <f t="shared" ca="1" si="117"/>
        <v>8.037778587117117</v>
      </c>
      <c r="GA9" s="2">
        <f t="shared" ca="1" si="117"/>
        <v>50.762691524212755</v>
      </c>
      <c r="GB9" s="2">
        <f t="shared" ca="1" si="118"/>
        <v>91.843254085785105</v>
      </c>
      <c r="GC9" s="2">
        <f t="shared" ca="1" si="119"/>
        <v>2672515061.2717757</v>
      </c>
      <c r="GD9" s="2">
        <f t="shared" ref="GD9:GD71" si="152">$BK$5</f>
        <v>38</v>
      </c>
      <c r="GE9">
        <f t="shared" ref="GE9:GE40" ca="1" si="153">-5.1404654*S9^2+132.899012*S9+1120.66061</f>
        <v>1439.1202862456098</v>
      </c>
      <c r="GF9">
        <f t="shared" ca="1" si="120"/>
        <v>1438.7227648571131</v>
      </c>
      <c r="GG9">
        <f t="shared" ca="1" si="121"/>
        <v>1807.1703107660587</v>
      </c>
      <c r="GH9" s="2">
        <f t="shared" ca="1" si="122"/>
        <v>0.37598214698139393</v>
      </c>
      <c r="GI9" s="2">
        <f t="shared" ca="1" si="123"/>
        <v>1.3879004514959234</v>
      </c>
      <c r="GJ9" s="2">
        <f t="shared" ca="1" si="124"/>
        <v>-1.9453213849525446</v>
      </c>
      <c r="GK9" s="2">
        <f t="shared" ca="1" si="125"/>
        <v>1.5637484183953485</v>
      </c>
      <c r="GL9" s="2">
        <f t="shared" ref="GL9:GL40" ca="1" si="154">-GH9</f>
        <v>-0.37598214698139393</v>
      </c>
      <c r="GM9">
        <f t="shared" ref="GM9:GM40" ca="1" si="155">-GJ9/(3*GK9)</f>
        <v>0.4146705787343018</v>
      </c>
      <c r="GN9">
        <f t="shared" ref="GN9:GN40" ca="1" si="156">(-GJ9^3)/(27*(GK9^3))</f>
        <v>7.130330633716811E-2</v>
      </c>
      <c r="GO9">
        <f t="shared" ref="GO9:GO40" ca="1" si="157">(GJ9*GI9)/(6*(GK9^2))</f>
        <v>-0.18401984509694619</v>
      </c>
      <c r="GP9">
        <f t="shared" ref="GP9:GP40" ca="1" si="158">GL9/(2*GK9)</f>
        <v>-0.12021823413487787</v>
      </c>
      <c r="GQ9">
        <f t="shared" ref="GQ9:GQ40" ca="1" si="159">GI9/(3*GK9)</f>
        <v>0.29584904987894994</v>
      </c>
      <c r="GR9">
        <f t="shared" ref="GR9:GR40" ca="1" si="160">(GJ9^2)/(9*(GK9^2))</f>
        <v>0.17195168886784074</v>
      </c>
      <c r="GS9">
        <f t="shared" ref="GS9:GS40" ca="1" si="161">GN9+GO9-GP9</f>
        <v>7.5016953750997872E-3</v>
      </c>
      <c r="GT9">
        <f t="shared" ref="GT9:GT40" ca="1" si="162">(GQ9-GR9)^3</f>
        <v>1.9018933865706472E-3</v>
      </c>
      <c r="GU9">
        <f t="shared" ref="GU9:GU40" ca="1" si="163">(GS9+SQRT(GS9^2+GT9))^(1/3)</f>
        <v>0.37265894864374433</v>
      </c>
      <c r="GV9">
        <f t="shared" ref="GV9:GV40" ca="1" si="164">(GS9-(SQRT(GS9^2+GT9)))^(1/3)</f>
        <v>-0.33246849823953373</v>
      </c>
      <c r="GW9">
        <f t="shared" ref="GW9:GW40" ca="1" si="165">GU9+GV9+GM9</f>
        <v>0.4548610291385124</v>
      </c>
      <c r="GY9" s="15">
        <f t="shared" ref="GY9:GY40" si="166">1.5*EO9+0.5*(EP9+EW9+EQ9+ER9+ES9)-0.5*(ET9+EU9)+3*EV9</f>
        <v>0.17728197814951677</v>
      </c>
      <c r="GZ9" s="2">
        <f t="shared" ref="GZ9:GZ40" si="167">EO9+EP9+EW9</f>
        <v>7.2031887766164482E-2</v>
      </c>
      <c r="HA9" s="2">
        <f t="shared" ref="HA9:HA40" si="168">EN9-0.5*(EP9+EW9+EQ9+ER9+ES9)-1.5*ET9-3*EU9</f>
        <v>3.9688373469940808E-2</v>
      </c>
      <c r="HB9" s="2">
        <f t="shared" ref="HB9:HB40" si="169">SUM(GY9:HA9)</f>
        <v>0.28900223938562208</v>
      </c>
      <c r="HC9" s="2">
        <f t="shared" ref="HC9:HC40" si="170">GY9/$HB9</f>
        <v>0.61342769705312039</v>
      </c>
      <c r="HD9" s="2">
        <f t="shared" ref="HD9:HD40" si="171">GZ9/$HB9</f>
        <v>0.24924335506636244</v>
      </c>
      <c r="HE9" s="2">
        <f t="shared" ref="HE9:HE40" si="172">HA9/$HB9</f>
        <v>0.13732894788051705</v>
      </c>
      <c r="HF9" s="2">
        <f t="shared" si="127"/>
        <v>-1.3864566442755897</v>
      </c>
      <c r="HG9" s="2">
        <f t="shared" si="128"/>
        <v>-1.368578153102731</v>
      </c>
      <c r="HH9" s="2">
        <f t="shared" ref="HH9:HH40" si="173">(HF9+HG9)/2</f>
        <v>-1.3775173986891605</v>
      </c>
      <c r="HI9" s="2">
        <f t="shared" si="129"/>
        <v>1.9492949151968675</v>
      </c>
      <c r="HJ9" s="2">
        <f t="shared" si="130"/>
        <v>0.2445215698002802</v>
      </c>
      <c r="HK9" s="2">
        <f t="shared" si="131"/>
        <v>0.34282248686577377</v>
      </c>
      <c r="HL9" s="2">
        <f t="shared" si="132"/>
        <v>0.71723597644926151</v>
      </c>
    </row>
    <row r="10" spans="1:220" s="2" customFormat="1" ht="20.25">
      <c r="A10" s="98" t="s">
        <v>157</v>
      </c>
      <c r="B10" s="81">
        <v>65</v>
      </c>
      <c r="C10" s="94">
        <f t="shared" ca="1" si="133"/>
        <v>-3.3685543197824277</v>
      </c>
      <c r="D10" s="57">
        <f t="shared" ca="1" si="0"/>
        <v>-3.2314073552949774</v>
      </c>
      <c r="E10" s="58">
        <f t="shared" ca="1" si="1"/>
        <v>-3.3685543197824308</v>
      </c>
      <c r="F10" s="65">
        <v>46.288333333333327</v>
      </c>
      <c r="G10" s="65">
        <v>1.2908333333333333</v>
      </c>
      <c r="H10" s="65">
        <v>9.2111666666666654</v>
      </c>
      <c r="I10" s="65">
        <v>11.305550000000002</v>
      </c>
      <c r="J10" s="65">
        <v>0.13400000000000001</v>
      </c>
      <c r="K10" s="65">
        <v>20.848833333333335</v>
      </c>
      <c r="L10" s="65">
        <v>8.7841666666666676</v>
      </c>
      <c r="M10" s="65">
        <v>1.3198333333333334</v>
      </c>
      <c r="N10" s="65">
        <v>0.39416666666666661</v>
      </c>
      <c r="O10" s="66">
        <v>4.2666666666666665E-2</v>
      </c>
      <c r="P10" s="66">
        <v>0.18000000000000002</v>
      </c>
      <c r="Q10" s="66">
        <v>0.63950000000000007</v>
      </c>
      <c r="R10" s="3">
        <f t="shared" si="134"/>
        <v>99.799549999999982</v>
      </c>
      <c r="S10" s="104">
        <f t="shared" ca="1" si="2"/>
        <v>2.8970883852393969</v>
      </c>
      <c r="T10" s="104">
        <f t="shared" ca="1" si="135"/>
        <v>0.34783112046724851</v>
      </c>
      <c r="U10" s="105">
        <f t="shared" ca="1" si="3"/>
        <v>1624.3178104606072</v>
      </c>
      <c r="V10" s="105">
        <f t="shared" ca="1" si="3"/>
        <v>1566.3746205504413</v>
      </c>
      <c r="W10" s="105">
        <f t="shared" ca="1" si="4"/>
        <v>1578.0670861870353</v>
      </c>
      <c r="X10" s="101">
        <f t="shared" ca="1" si="5"/>
        <v>1699.3826926523179</v>
      </c>
      <c r="Y10" s="101">
        <f t="shared" ca="1" si="6"/>
        <v>1638.0834832400906</v>
      </c>
      <c r="Z10" s="103">
        <f t="shared" ca="1" si="7"/>
        <v>1689.4669025746468</v>
      </c>
      <c r="AA10" s="103">
        <f t="shared" ca="1" si="8"/>
        <v>1661.5828374003509</v>
      </c>
      <c r="AB10" s="103">
        <f t="shared" ca="1" si="136"/>
        <v>43.13022585497265</v>
      </c>
      <c r="AC10" s="4">
        <v>13.3</v>
      </c>
      <c r="AD10" s="273">
        <f t="shared" ca="1" si="9"/>
        <v>12.229867858852824</v>
      </c>
      <c r="AE10" s="3">
        <f t="shared" ca="1" si="10"/>
        <v>116.56292122669929</v>
      </c>
      <c r="AF10" s="3">
        <f t="shared" ca="1" si="11"/>
        <v>213.86431738931861</v>
      </c>
      <c r="AG10" s="2">
        <f t="shared" ca="1" si="12"/>
        <v>545.03211498582129</v>
      </c>
      <c r="AH10" s="2">
        <f t="shared" ca="1" si="13"/>
        <v>130.6392249768038</v>
      </c>
      <c r="AI10" s="85">
        <f t="shared" si="14"/>
        <v>0.42300313784680627</v>
      </c>
      <c r="AJ10" s="85">
        <f t="shared" ca="1" si="15"/>
        <v>2.8970883852394143</v>
      </c>
      <c r="AK10" s="85">
        <f t="shared" ca="1" si="16"/>
        <v>0.28371359942261576</v>
      </c>
      <c r="AL10" s="86">
        <f t="shared" ca="1" si="17"/>
        <v>0.26958140394585028</v>
      </c>
      <c r="AM10" s="85">
        <f t="shared" ca="1" si="18"/>
        <v>0.34783112046724851</v>
      </c>
      <c r="AN10" s="85">
        <f t="shared" ca="1" si="19"/>
        <v>0.34783112046724862</v>
      </c>
      <c r="AO10" s="96">
        <f t="shared" ca="1" si="20"/>
        <v>41.302966468077649</v>
      </c>
      <c r="AP10" s="96">
        <f t="shared" ca="1" si="21"/>
        <v>7.486204322345448</v>
      </c>
      <c r="AQ10" s="96">
        <f t="shared" ca="1" si="22"/>
        <v>51.2108292095769</v>
      </c>
      <c r="AR10" s="2">
        <f t="shared" ca="1" si="137"/>
        <v>92.422017686283795</v>
      </c>
      <c r="AS10" s="53">
        <f t="shared" ca="1" si="138"/>
        <v>80.924009463304031</v>
      </c>
      <c r="AT10" s="53">
        <f t="shared" ca="1" si="139"/>
        <v>92.422017686283795</v>
      </c>
      <c r="AU10" s="63">
        <f t="shared" ca="1" si="23"/>
        <v>0.34783112046724862</v>
      </c>
      <c r="AV10" s="53">
        <f t="shared" si="24"/>
        <v>2.1791924131522142</v>
      </c>
      <c r="AW10" s="53">
        <f t="shared" ca="1" si="25"/>
        <v>2.2087512741644022</v>
      </c>
      <c r="AX10" s="54">
        <f t="shared" ca="1" si="26"/>
        <v>1632.6083359203503</v>
      </c>
      <c r="AY10" s="54">
        <f t="shared" ca="1" si="27"/>
        <v>1624.3178104606066</v>
      </c>
      <c r="AZ10" s="54">
        <f t="shared" ca="1" si="28"/>
        <v>1566.3746205504406</v>
      </c>
      <c r="BA10" s="34"/>
      <c r="BB10" s="63">
        <f t="shared" ca="1" si="140"/>
        <v>0.23969087579399401</v>
      </c>
      <c r="BC10" s="63">
        <f t="shared" ca="1" si="141"/>
        <v>2.0796447885935175E-2</v>
      </c>
      <c r="BD10" s="53">
        <f t="shared" si="29"/>
        <v>0.16348826666666647</v>
      </c>
      <c r="BE10" s="53">
        <f t="shared" ca="1" si="30"/>
        <v>0.22498556646925838</v>
      </c>
      <c r="BF10" s="53">
        <f t="shared" ca="1" si="31"/>
        <v>0.19914295467463852</v>
      </c>
      <c r="BG10"/>
      <c r="BH10" s="53">
        <f t="shared" ca="1" si="32"/>
        <v>0.19372271982578845</v>
      </c>
      <c r="BI10" s="53">
        <f t="shared" ca="1" si="33"/>
        <v>0.25439618511873141</v>
      </c>
      <c r="BJ10"/>
      <c r="BK10" s="53">
        <f t="shared" ca="1" si="142"/>
        <v>0.58854288245206876</v>
      </c>
      <c r="BL10" s="53">
        <f t="shared" si="34"/>
        <v>0.21204687110484324</v>
      </c>
      <c r="BM10" s="53">
        <f t="shared" si="143"/>
        <v>0.34943605695435337</v>
      </c>
      <c r="BN10" s="53">
        <f t="shared" si="35"/>
        <v>0.33553862268539553</v>
      </c>
      <c r="BO10" s="53">
        <f t="shared" si="36"/>
        <v>0.33406496084511972</v>
      </c>
      <c r="BP10" s="53">
        <f t="shared" si="37"/>
        <v>0.30422615014906762</v>
      </c>
      <c r="BQ10" s="54">
        <f t="shared" si="38"/>
        <v>1459.1637171155555</v>
      </c>
      <c r="BR10" s="262">
        <f t="shared" si="39"/>
        <v>5.354460995772012</v>
      </c>
      <c r="BS10" s="54">
        <f t="shared" si="144"/>
        <v>1692.0564866191162</v>
      </c>
      <c r="BT10" s="17"/>
      <c r="BU10" s="2">
        <f t="shared" si="40"/>
        <v>0.77044496227252546</v>
      </c>
      <c r="BV10" s="2">
        <f t="shared" si="41"/>
        <v>1.6155611180642467E-2</v>
      </c>
      <c r="BW10" s="2">
        <f t="shared" si="42"/>
        <v>0.18068196678435985</v>
      </c>
      <c r="BX10" s="2">
        <f t="shared" si="43"/>
        <v>0.15734933890048716</v>
      </c>
      <c r="BY10" s="2">
        <f t="shared" si="44"/>
        <v>1.8889202142655767E-3</v>
      </c>
      <c r="BZ10" s="2">
        <f t="shared" si="45"/>
        <v>0.51734077750206786</v>
      </c>
      <c r="CA10" s="2">
        <f t="shared" si="46"/>
        <v>0.1566363528292915</v>
      </c>
      <c r="CB10" s="2">
        <f t="shared" si="47"/>
        <v>4.2589007206625798E-2</v>
      </c>
      <c r="CC10" s="2">
        <f t="shared" si="48"/>
        <v>8.3687190375088451E-3</v>
      </c>
      <c r="CD10" s="2">
        <f t="shared" si="49"/>
        <v>5.6144044564335367E-4</v>
      </c>
      <c r="CE10" s="2">
        <f t="shared" si="50"/>
        <v>2.5362829364520222E-3</v>
      </c>
      <c r="CF10" s="2">
        <f t="shared" si="51"/>
        <v>1.8545533793098699</v>
      </c>
      <c r="CG10" s="2">
        <f t="shared" si="52"/>
        <v>0.41543423385269673</v>
      </c>
      <c r="CH10" s="2">
        <f t="shared" si="52"/>
        <v>8.7113217451063128E-3</v>
      </c>
      <c r="CI10" s="2">
        <f t="shared" si="52"/>
        <v>9.7426134399861045E-2</v>
      </c>
      <c r="CJ10" s="2">
        <f t="shared" si="52"/>
        <v>8.4844869204595857E-2</v>
      </c>
      <c r="CK10" s="2">
        <f t="shared" si="52"/>
        <v>1.0185310573096018E-3</v>
      </c>
      <c r="CL10" s="2">
        <f t="shared" si="52"/>
        <v>0.27895707035112927</v>
      </c>
      <c r="CM10" s="2">
        <f t="shared" si="52"/>
        <v>8.4460417573734209E-2</v>
      </c>
      <c r="CN10" s="2">
        <f t="shared" si="52"/>
        <v>2.2964562617482778E-2</v>
      </c>
      <c r="CO10" s="2">
        <f t="shared" si="52"/>
        <v>4.5125252963185538E-3</v>
      </c>
      <c r="CP10" s="2">
        <f t="shared" si="53"/>
        <v>3.027362015604431E-4</v>
      </c>
      <c r="CQ10" s="2">
        <f t="shared" si="54"/>
        <v>1.3675977002052335E-3</v>
      </c>
      <c r="CS10" s="2">
        <f t="shared" ca="1" si="55"/>
        <v>0.68746615293071989</v>
      </c>
      <c r="CT10" s="2">
        <f t="shared" ca="1" si="56"/>
        <v>0.10419212696375016</v>
      </c>
      <c r="CU10" s="2">
        <f t="shared" ca="1" si="57"/>
        <v>1.27074017889769</v>
      </c>
      <c r="CV10" s="2">
        <f t="shared" ca="1" si="58"/>
        <v>2.0623984587921598</v>
      </c>
      <c r="CW10" s="2">
        <f t="shared" ca="1" si="59"/>
        <v>0.33333333333333331</v>
      </c>
      <c r="CX10" s="2">
        <f t="shared" ca="1" si="60"/>
        <v>5.0519882091441294E-2</v>
      </c>
      <c r="CY10" s="2">
        <f t="shared" ca="1" si="61"/>
        <v>0.61614678457522554</v>
      </c>
      <c r="CZ10" s="2">
        <f t="shared" si="62"/>
        <v>0.44928088818676898</v>
      </c>
      <c r="DA10" s="2">
        <f t="shared" si="63"/>
        <v>0.41543423385269673</v>
      </c>
      <c r="DB10" s="2">
        <f t="shared" si="64"/>
        <v>-0.42001302286461917</v>
      </c>
      <c r="DD10" s="2">
        <f t="shared" ca="1" si="65"/>
        <v>1632.6083359203503</v>
      </c>
      <c r="DE10" s="2">
        <f t="shared" ca="1" si="66"/>
        <v>15034.954087286387</v>
      </c>
      <c r="DF10" s="2">
        <f t="shared" si="67"/>
        <v>7.8892238348917116</v>
      </c>
      <c r="DG10" s="2">
        <f t="shared" si="68"/>
        <v>1724.2387954339008</v>
      </c>
      <c r="DH10" s="2">
        <f t="shared" si="69"/>
        <v>1451.0887954339009</v>
      </c>
      <c r="DI10" s="2">
        <f t="shared" si="145"/>
        <v>13602.905801982104</v>
      </c>
      <c r="DJ10" s="2">
        <f t="shared" si="70"/>
        <v>7.8892238348917116</v>
      </c>
      <c r="DK10" s="2">
        <f t="shared" si="71"/>
        <v>1724.2387954339008</v>
      </c>
      <c r="DL10" s="2">
        <f t="shared" ca="1" si="72"/>
        <v>2.8970883852393969</v>
      </c>
      <c r="DM10" s="2">
        <f t="shared" si="73"/>
        <v>-0.42001302286461917</v>
      </c>
      <c r="DN10" s="2">
        <f t="shared" si="74"/>
        <v>0.44928088818676892</v>
      </c>
      <c r="DO10" s="2">
        <f t="shared" si="75"/>
        <v>0.41543423385269673</v>
      </c>
      <c r="DP10" s="2">
        <f t="shared" si="76"/>
        <v>2.1791924131522142</v>
      </c>
      <c r="DQ10" s="2">
        <f t="shared" ca="1" si="77"/>
        <v>15035.030788823829</v>
      </c>
      <c r="DR10" s="2">
        <f t="shared" si="78"/>
        <v>7.8890006077195753</v>
      </c>
      <c r="DS10" s="2">
        <f t="shared" ca="1" si="79"/>
        <v>1632.6719838532772</v>
      </c>
      <c r="DT10" s="2">
        <f t="shared" si="80"/>
        <v>1451.155790607886</v>
      </c>
      <c r="DU10" s="2">
        <f t="shared" ca="1" si="81"/>
        <v>1590.8123211870354</v>
      </c>
      <c r="DV10" s="9">
        <f t="shared" ca="1" si="82"/>
        <v>2.2087512741644022</v>
      </c>
      <c r="DW10" s="2">
        <f t="shared" ca="1" si="83"/>
        <v>2.9024883565228654</v>
      </c>
      <c r="DX10" s="2">
        <f t="shared" ca="1" si="84"/>
        <v>4589.6005991428383</v>
      </c>
      <c r="DY10" s="2">
        <f t="shared" ca="1" si="146"/>
        <v>1581.2640863238832</v>
      </c>
      <c r="DZ10" s="2">
        <f t="shared" ca="1" si="85"/>
        <v>3.4268545550692489</v>
      </c>
      <c r="EB10" s="2">
        <f t="shared" si="86"/>
        <v>0.77044496227252546</v>
      </c>
      <c r="EC10" s="2">
        <f t="shared" si="87"/>
        <v>1.6155611180642467E-2</v>
      </c>
      <c r="ED10" s="2">
        <f t="shared" si="88"/>
        <v>9.0340983392179927E-2</v>
      </c>
      <c r="EE10" s="2">
        <f t="shared" si="89"/>
        <v>0.15734933890048716</v>
      </c>
      <c r="EF10" s="2">
        <f t="shared" si="90"/>
        <v>1.8889202142655767E-3</v>
      </c>
      <c r="EG10" s="2">
        <f t="shared" si="91"/>
        <v>0.51734077750206786</v>
      </c>
      <c r="EH10" s="2">
        <f t="shared" si="92"/>
        <v>0.1566363528292915</v>
      </c>
      <c r="EI10" s="2">
        <f t="shared" si="93"/>
        <v>2.1294503603312899E-2</v>
      </c>
      <c r="EJ10" s="2">
        <f t="shared" si="94"/>
        <v>4.1843595187544226E-3</v>
      </c>
      <c r="EK10" s="2">
        <f t="shared" si="95"/>
        <v>2.8072022282167684E-4</v>
      </c>
      <c r="EL10" s="2">
        <f t="shared" si="96"/>
        <v>1.2681414682260111E-3</v>
      </c>
      <c r="EM10" s="2">
        <f t="shared" si="97"/>
        <v>1.7371846711045753</v>
      </c>
      <c r="EN10" s="2">
        <f t="shared" si="98"/>
        <v>0.44350204965983497</v>
      </c>
      <c r="EO10" s="2">
        <f t="shared" si="98"/>
        <v>9.2998812672978794E-3</v>
      </c>
      <c r="EP10" s="2">
        <f t="shared" si="98"/>
        <v>5.2004248537800717E-2</v>
      </c>
      <c r="EQ10" s="2">
        <f t="shared" si="98"/>
        <v>9.0577208927613784E-2</v>
      </c>
      <c r="ER10" s="2">
        <f t="shared" si="98"/>
        <v>1.0873456608758362E-3</v>
      </c>
      <c r="ES10" s="2">
        <f t="shared" si="98"/>
        <v>0.2978041345328708</v>
      </c>
      <c r="ET10" s="2">
        <f t="shared" si="98"/>
        <v>9.0166782746071261E-2</v>
      </c>
      <c r="EU10" s="2">
        <f t="shared" si="98"/>
        <v>1.225805405580338E-2</v>
      </c>
      <c r="EV10" s="2">
        <f t="shared" si="98"/>
        <v>2.4087016126465299E-3</v>
      </c>
      <c r="EW10" s="2">
        <f t="shared" si="98"/>
        <v>1.6159492280298736E-4</v>
      </c>
      <c r="EX10" s="2">
        <f t="shared" si="98"/>
        <v>7.2999807638163955E-4</v>
      </c>
      <c r="EY10" s="2">
        <f t="shared" si="99"/>
        <v>0.99999999999999978</v>
      </c>
      <c r="EZ10" s="2">
        <f t="shared" si="100"/>
        <v>9.7426134399861045E-2</v>
      </c>
      <c r="FA10" s="2">
        <f t="shared" si="101"/>
        <v>0.52157168999766412</v>
      </c>
      <c r="FB10" s="2">
        <f t="shared" si="102"/>
        <v>1.4613228434919212</v>
      </c>
      <c r="FC10" s="2">
        <f t="shared" si="103"/>
        <v>0.83635892699318592</v>
      </c>
      <c r="FD10" s="2">
        <f t="shared" si="104"/>
        <v>1.6035358955102252</v>
      </c>
      <c r="FE10" s="2">
        <f t="shared" ca="1" si="105"/>
        <v>0.14513188850577333</v>
      </c>
      <c r="FF10" s="2">
        <f t="shared" ca="1" si="106"/>
        <v>1.0188336386296102E-2</v>
      </c>
      <c r="FG10" s="2">
        <f t="shared" ca="1" si="107"/>
        <v>7.0200536155021587E-2</v>
      </c>
      <c r="FH10" s="2">
        <f t="shared" ca="1" si="108"/>
        <v>0.23572720461096569</v>
      </c>
      <c r="FI10" s="2">
        <f t="shared" ca="1" si="147"/>
        <v>8.1993257704444461E-2</v>
      </c>
      <c r="FJ10" s="2">
        <f t="shared" ca="1" si="148"/>
        <v>0.34783112046724818</v>
      </c>
      <c r="FK10" s="2">
        <f t="shared" ca="1" si="149"/>
        <v>8.1993257704444461E-2</v>
      </c>
      <c r="FL10" s="2">
        <f t="shared" ca="1" si="109"/>
        <v>8.1993257704444544E-2</v>
      </c>
      <c r="FP10" s="2">
        <f t="shared" ca="1" si="150"/>
        <v>1.8484403537256757</v>
      </c>
      <c r="FQ10" s="2">
        <f t="shared" ca="1" si="110"/>
        <v>0.15155964627432428</v>
      </c>
      <c r="FR10" s="2">
        <f t="shared" si="151"/>
        <v>0.33333333333333331</v>
      </c>
      <c r="FS10" s="2">
        <f t="shared" ca="1" si="111"/>
        <v>5.0519882091441426E-2</v>
      </c>
      <c r="FT10" s="2">
        <f t="shared" ca="1" si="112"/>
        <v>0.6161467845752252</v>
      </c>
      <c r="FU10" s="2">
        <f t="shared" si="113"/>
        <v>20.026666666666664</v>
      </c>
      <c r="FV10" s="2">
        <f t="shared" ca="1" si="114"/>
        <v>3.6298535282700661</v>
      </c>
      <c r="FW10" s="2">
        <f t="shared" ca="1" si="115"/>
        <v>24.830715418381573</v>
      </c>
      <c r="FX10" s="2">
        <f t="shared" ca="1" si="116"/>
        <v>48.487235613318305</v>
      </c>
      <c r="FY10" s="2">
        <f t="shared" ca="1" si="117"/>
        <v>41.302966468077649</v>
      </c>
      <c r="FZ10" s="2">
        <f t="shared" ca="1" si="117"/>
        <v>7.4862043223454684</v>
      </c>
      <c r="GA10" s="2">
        <f t="shared" ca="1" si="117"/>
        <v>51.210829209576879</v>
      </c>
      <c r="GB10" s="2">
        <f t="shared" ca="1" si="118"/>
        <v>92.422017686283795</v>
      </c>
      <c r="GC10" s="2">
        <f t="shared" ca="1" si="119"/>
        <v>2897088385.239397</v>
      </c>
      <c r="GD10" s="2">
        <f t="shared" si="152"/>
        <v>38</v>
      </c>
      <c r="GE10">
        <f t="shared" ca="1" si="153"/>
        <v>1462.5362454013161</v>
      </c>
      <c r="GF10">
        <f t="shared" ca="1" si="120"/>
        <v>1462.1845562432343</v>
      </c>
      <c r="GG10">
        <f t="shared" ca="1" si="121"/>
        <v>1819.3274435733144</v>
      </c>
      <c r="GH10" s="2">
        <f t="shared" ca="1" si="122"/>
        <v>0.45397307343692234</v>
      </c>
      <c r="GI10" s="2">
        <f t="shared" ca="1" si="123"/>
        <v>1.320079307657702</v>
      </c>
      <c r="GJ10" s="2">
        <f t="shared" ca="1" si="124"/>
        <v>-1.8168654436430653</v>
      </c>
      <c r="GK10" s="2">
        <f t="shared" ca="1" si="125"/>
        <v>1.5028890476001231</v>
      </c>
      <c r="GL10" s="2">
        <f t="shared" ca="1" si="154"/>
        <v>-0.45397307343692234</v>
      </c>
      <c r="GM10">
        <f t="shared" ca="1" si="155"/>
        <v>0.402971740006204</v>
      </c>
      <c r="GN10">
        <f t="shared" ca="1" si="156"/>
        <v>6.5437058933520559E-2</v>
      </c>
      <c r="GO10">
        <f t="shared" ca="1" si="157"/>
        <v>-0.17697735451677457</v>
      </c>
      <c r="GP10">
        <f t="shared" ca="1" si="158"/>
        <v>-0.15103346257058889</v>
      </c>
      <c r="GQ10">
        <f t="shared" ca="1" si="159"/>
        <v>0.29278704012684997</v>
      </c>
      <c r="GR10">
        <f t="shared" ca="1" si="160"/>
        <v>0.16238622324362773</v>
      </c>
      <c r="GS10">
        <f t="shared" ca="1" si="161"/>
        <v>3.9493166987334877E-2</v>
      </c>
      <c r="GT10">
        <f t="shared" ca="1" si="162"/>
        <v>2.2173841355000844E-3</v>
      </c>
      <c r="GU10">
        <f t="shared" ca="1" si="163"/>
        <v>0.46562599165825652</v>
      </c>
      <c r="GV10">
        <f t="shared" ca="1" si="164"/>
        <v>-0.28005484921238927</v>
      </c>
      <c r="GW10">
        <f t="shared" ca="1" si="165"/>
        <v>0.58854288245207131</v>
      </c>
      <c r="GY10" s="15">
        <f t="shared" si="166"/>
        <v>0.19078077462893117</v>
      </c>
      <c r="GZ10" s="2">
        <f t="shared" si="167"/>
        <v>6.1465724727901586E-2</v>
      </c>
      <c r="HA10" s="2">
        <f t="shared" si="168"/>
        <v>5.0660447082335858E-2</v>
      </c>
      <c r="HB10" s="2">
        <f t="shared" si="169"/>
        <v>0.3029069464391686</v>
      </c>
      <c r="HC10" s="2">
        <f t="shared" si="170"/>
        <v>0.62983294662489619</v>
      </c>
      <c r="HD10" s="2">
        <f t="shared" si="171"/>
        <v>0.20291949541092966</v>
      </c>
      <c r="HE10" s="2">
        <f t="shared" si="172"/>
        <v>0.1672475579641742</v>
      </c>
      <c r="HF10" s="2">
        <f t="shared" si="127"/>
        <v>-1.3725474121931955</v>
      </c>
      <c r="HG10" s="2">
        <f t="shared" si="128"/>
        <v>-1.3593116577647437</v>
      </c>
      <c r="HH10" s="2">
        <f t="shared" si="173"/>
        <v>-1.3659295349789695</v>
      </c>
      <c r="HI10" s="2">
        <f t="shared" si="129"/>
        <v>2.1475209753956639</v>
      </c>
      <c r="HJ10" s="2">
        <f t="shared" si="130"/>
        <v>0.2188134332760269</v>
      </c>
      <c r="HK10" s="2">
        <f t="shared" si="131"/>
        <v>0.34581744508738149</v>
      </c>
      <c r="HL10" s="2">
        <f t="shared" si="132"/>
        <v>0.70938609797842633</v>
      </c>
    </row>
    <row r="11" spans="1:220" s="2" customFormat="1" ht="20.25">
      <c r="A11" s="88" t="s">
        <v>158</v>
      </c>
      <c r="B11" s="77">
        <v>250</v>
      </c>
      <c r="C11" s="94">
        <f t="shared" ca="1" si="133"/>
        <v>-4.3495945414021753</v>
      </c>
      <c r="D11" s="59">
        <f t="shared" ca="1" si="0"/>
        <v>-4.4246627891664367</v>
      </c>
      <c r="E11" s="60">
        <f t="shared" ca="1" si="1"/>
        <v>-4.3495945414021753</v>
      </c>
      <c r="F11" s="65">
        <v>47.997166666666665</v>
      </c>
      <c r="G11" s="65">
        <v>1.0746666666666667</v>
      </c>
      <c r="H11" s="65">
        <v>11.016833333333333</v>
      </c>
      <c r="I11" s="65">
        <v>10.0839</v>
      </c>
      <c r="J11" s="65">
        <v>0.17500000000000002</v>
      </c>
      <c r="K11" s="65">
        <v>17.5975</v>
      </c>
      <c r="L11" s="65">
        <v>9.9238333333333344</v>
      </c>
      <c r="M11" s="65">
        <v>1.3898333333333335</v>
      </c>
      <c r="N11" s="65">
        <v>0.50816666666666666</v>
      </c>
      <c r="O11" s="66">
        <v>1.9833333333333331E-2</v>
      </c>
      <c r="P11" s="66">
        <v>0.11399999999999999</v>
      </c>
      <c r="Q11" s="66">
        <v>0.53266666666666673</v>
      </c>
      <c r="R11" s="3">
        <f t="shared" si="134"/>
        <v>99.900733333333321</v>
      </c>
      <c r="S11" s="104">
        <f t="shared" ca="1" si="2"/>
        <v>2.0667807216896272</v>
      </c>
      <c r="T11" s="104">
        <f t="shared" ca="1" si="135"/>
        <v>0.34521948978818368</v>
      </c>
      <c r="U11" s="105">
        <f t="shared" ca="1" si="3"/>
        <v>1510.1571380762894</v>
      </c>
      <c r="V11" s="105">
        <f t="shared" ca="1" si="3"/>
        <v>1472.8161081572955</v>
      </c>
      <c r="W11" s="105">
        <f t="shared" ca="1" si="4"/>
        <v>1482.5177158961831</v>
      </c>
      <c r="X11" s="101">
        <f t="shared" ca="1" si="5"/>
        <v>1585.0122057827905</v>
      </c>
      <c r="Y11" s="101">
        <f t="shared" ca="1" si="6"/>
        <v>1537.4086270257626</v>
      </c>
      <c r="Z11" s="103">
        <f t="shared" ca="1" si="7"/>
        <v>1561.2104164042764</v>
      </c>
      <c r="AA11" s="103">
        <f t="shared" ca="1" si="8"/>
        <v>1537.4236460452821</v>
      </c>
      <c r="AB11" s="103">
        <f t="shared" ca="1" si="136"/>
        <v>33.650194973144956</v>
      </c>
      <c r="AC11" s="4">
        <v>13.3</v>
      </c>
      <c r="AD11" s="273">
        <f t="shared" ca="1" si="9"/>
        <v>11.537261804545533</v>
      </c>
      <c r="AE11" s="3">
        <f t="shared" ca="1" si="10"/>
        <v>109.7124261794315</v>
      </c>
      <c r="AF11" s="3">
        <f t="shared" ca="1" si="11"/>
        <v>213.16221986330552</v>
      </c>
      <c r="AG11" s="2">
        <f t="shared" ca="1" si="12"/>
        <v>514.68982753973364</v>
      </c>
      <c r="AH11" s="2">
        <f t="shared" ca="1" si="13"/>
        <v>88.452528166707381</v>
      </c>
      <c r="AI11" s="85">
        <f t="shared" si="14"/>
        <v>0.36276327385086615</v>
      </c>
      <c r="AJ11" s="85">
        <f t="shared" ca="1" si="15"/>
        <v>2.0667807216896272</v>
      </c>
      <c r="AK11" s="85">
        <f t="shared" ca="1" si="16"/>
        <v>0.27906618231472397</v>
      </c>
      <c r="AL11" s="86">
        <f t="shared" ca="1" si="17"/>
        <v>0.27262420306077434</v>
      </c>
      <c r="AM11" s="85">
        <f t="shared" ca="1" si="18"/>
        <v>0.34521948978818368</v>
      </c>
      <c r="AN11" s="85">
        <f t="shared" ca="1" si="19"/>
        <v>0.34521948978818362</v>
      </c>
      <c r="AO11" s="96">
        <f t="shared" ca="1" si="20"/>
        <v>41.217424361008177</v>
      </c>
      <c r="AP11" s="96">
        <f t="shared" ca="1" si="21"/>
        <v>7.942356537394728</v>
      </c>
      <c r="AQ11" s="96">
        <f t="shared" ca="1" si="22"/>
        <v>50.840219101597093</v>
      </c>
      <c r="AR11" s="2">
        <f t="shared" ca="1" si="137"/>
        <v>91.943587675658634</v>
      </c>
      <c r="AS11" s="53">
        <f t="shared" ca="1" si="138"/>
        <v>79.756298576541482</v>
      </c>
      <c r="AT11" s="53">
        <f t="shared" ca="1" si="139"/>
        <v>91.94358767565862</v>
      </c>
      <c r="AU11" s="63">
        <f t="shared" ca="1" si="23"/>
        <v>0.34521948978818362</v>
      </c>
      <c r="AV11" s="53">
        <f t="shared" si="24"/>
        <v>2.5525643400167577</v>
      </c>
      <c r="AW11" s="53">
        <f t="shared" ca="1" si="25"/>
        <v>2.5862045943983754</v>
      </c>
      <c r="AX11" s="54">
        <f t="shared" ca="1" si="26"/>
        <v>1514.9146092835363</v>
      </c>
      <c r="AY11" s="54">
        <f t="shared" ca="1" si="27"/>
        <v>1510.1571380762894</v>
      </c>
      <c r="AZ11" s="54">
        <f t="shared" ca="1" si="28"/>
        <v>1472.8161081572955</v>
      </c>
      <c r="BA11" s="34"/>
      <c r="BB11" s="63">
        <f t="shared" ca="1" si="140"/>
        <v>0.17185598672023281</v>
      </c>
      <c r="BC11" s="63">
        <f t="shared" ca="1" si="141"/>
        <v>4.991964014213604E-2</v>
      </c>
      <c r="BD11" s="53">
        <f t="shared" si="29"/>
        <v>0.14544615000000014</v>
      </c>
      <c r="BE11" s="53">
        <f t="shared" ca="1" si="30"/>
        <v>0.13655747066133622</v>
      </c>
      <c r="BF11" s="53">
        <f t="shared" ca="1" si="31"/>
        <v>0.18119767563554642</v>
      </c>
      <c r="BG11"/>
      <c r="BH11" s="53">
        <f t="shared" ca="1" si="32"/>
        <v>0.15485581564196152</v>
      </c>
      <c r="BI11" s="53">
        <f t="shared" ca="1" si="33"/>
        <v>0.20715450277912939</v>
      </c>
      <c r="BJ11"/>
      <c r="BK11" s="53">
        <f t="shared" ca="1" si="142"/>
        <v>0.3503169407403377</v>
      </c>
      <c r="BL11" s="53">
        <f t="shared" si="34"/>
        <v>0.13012971718591285</v>
      </c>
      <c r="BM11" s="53">
        <f t="shared" si="143"/>
        <v>0.20004653128502664</v>
      </c>
      <c r="BN11" s="53">
        <f t="shared" si="35"/>
        <v>0.30691954321585779</v>
      </c>
      <c r="BO11" s="53">
        <f t="shared" si="36"/>
        <v>0.39490378165578821</v>
      </c>
      <c r="BP11" s="53">
        <f t="shared" si="37"/>
        <v>0.41862832727802868</v>
      </c>
      <c r="BQ11" s="54">
        <f t="shared" si="38"/>
        <v>1399.8314789999999</v>
      </c>
      <c r="BR11" s="262">
        <f t="shared" si="39"/>
        <v>3.5908589647219604</v>
      </c>
      <c r="BS11" s="54">
        <f t="shared" si="144"/>
        <v>1569.7918710812087</v>
      </c>
      <c r="BT11"/>
      <c r="BU11" s="2">
        <f t="shared" si="40"/>
        <v>0.79888759431868617</v>
      </c>
      <c r="BV11" s="2">
        <f t="shared" si="41"/>
        <v>1.3450146015853148E-2</v>
      </c>
      <c r="BW11" s="2">
        <f t="shared" si="42"/>
        <v>0.21610108539296455</v>
      </c>
      <c r="BX11" s="2">
        <f t="shared" si="43"/>
        <v>0.14034655532359083</v>
      </c>
      <c r="BY11" s="2">
        <f t="shared" si="44"/>
        <v>2.4668734141528054E-3</v>
      </c>
      <c r="BZ11" s="2">
        <f t="shared" si="45"/>
        <v>0.43666253101736974</v>
      </c>
      <c r="CA11" s="2">
        <f t="shared" si="46"/>
        <v>0.1769585116500238</v>
      </c>
      <c r="CB11" s="2">
        <f t="shared" si="47"/>
        <v>4.4847800365709373E-2</v>
      </c>
      <c r="CC11" s="2">
        <f t="shared" si="48"/>
        <v>1.0789101203113941E-2</v>
      </c>
      <c r="CD11" s="2">
        <f t="shared" si="49"/>
        <v>2.6098208215452769E-4</v>
      </c>
      <c r="CE11" s="2">
        <f t="shared" si="50"/>
        <v>1.6063125264196138E-3</v>
      </c>
      <c r="CF11" s="2">
        <f t="shared" si="51"/>
        <v>1.8423774933100387</v>
      </c>
      <c r="CG11" s="2">
        <f t="shared" si="52"/>
        <v>0.4336177559808303</v>
      </c>
      <c r="CH11" s="2">
        <f t="shared" si="52"/>
        <v>7.300428964581219E-3</v>
      </c>
      <c r="CI11" s="2">
        <f t="shared" si="52"/>
        <v>0.11729468373211323</v>
      </c>
      <c r="CJ11" s="2">
        <f t="shared" si="52"/>
        <v>7.6176872455949535E-2</v>
      </c>
      <c r="CK11" s="2">
        <f t="shared" si="52"/>
        <v>1.3389619788074969E-3</v>
      </c>
      <c r="CL11" s="2">
        <f t="shared" si="52"/>
        <v>0.23701034809801996</v>
      </c>
      <c r="CM11" s="2">
        <f t="shared" si="52"/>
        <v>9.6048997717670712E-2</v>
      </c>
      <c r="CN11" s="2">
        <f t="shared" si="52"/>
        <v>2.4342351406570456E-2</v>
      </c>
      <c r="CO11" s="2">
        <f t="shared" si="52"/>
        <v>5.8560752301256708E-3</v>
      </c>
      <c r="CP11" s="2">
        <f t="shared" si="53"/>
        <v>1.4165505337651732E-4</v>
      </c>
      <c r="CQ11" s="2">
        <f t="shared" si="54"/>
        <v>8.7186938195477645E-4</v>
      </c>
      <c r="CS11" s="2">
        <f t="shared" ca="1" si="55"/>
        <v>0.68604234955073529</v>
      </c>
      <c r="CT11" s="2">
        <f t="shared" ca="1" si="56"/>
        <v>0.1105408007988132</v>
      </c>
      <c r="CU11" s="2">
        <f t="shared" ca="1" si="57"/>
        <v>1.2615438983026575</v>
      </c>
      <c r="CV11" s="2">
        <f t="shared" ca="1" si="58"/>
        <v>2.0581270486522061</v>
      </c>
      <c r="CW11" s="2">
        <f t="shared" ca="1" si="59"/>
        <v>0.33333333333333331</v>
      </c>
      <c r="CX11" s="2">
        <f t="shared" ca="1" si="60"/>
        <v>5.3709415495609189E-2</v>
      </c>
      <c r="CY11" s="2">
        <f t="shared" ca="1" si="61"/>
        <v>0.61295725117105748</v>
      </c>
      <c r="CZ11" s="2">
        <f t="shared" si="62"/>
        <v>0.41057518025044776</v>
      </c>
      <c r="DA11" s="2">
        <f t="shared" si="63"/>
        <v>0.4336177559808303</v>
      </c>
      <c r="DB11" s="2">
        <f t="shared" si="64"/>
        <v>-0.48796397737721542</v>
      </c>
      <c r="DD11" s="2">
        <f t="shared" ca="1" si="65"/>
        <v>1514.9146092835363</v>
      </c>
      <c r="DE11" s="2">
        <f t="shared" ca="1" si="66"/>
        <v>14624.513827353072</v>
      </c>
      <c r="DF11" s="2">
        <f t="shared" si="67"/>
        <v>8.1789627463254817</v>
      </c>
      <c r="DG11" s="2">
        <f t="shared" si="68"/>
        <v>1663.1578140019537</v>
      </c>
      <c r="DH11" s="2">
        <f t="shared" si="69"/>
        <v>1390.0078140019536</v>
      </c>
      <c r="DI11" s="2">
        <f t="shared" si="145"/>
        <v>13602.905801982104</v>
      </c>
      <c r="DJ11" s="2">
        <f t="shared" si="70"/>
        <v>8.1789627463254817</v>
      </c>
      <c r="DK11" s="2">
        <f t="shared" si="71"/>
        <v>1663.1578140019537</v>
      </c>
      <c r="DL11" s="2">
        <f t="shared" ca="1" si="72"/>
        <v>2.0667807216896272</v>
      </c>
      <c r="DM11" s="2">
        <f t="shared" si="73"/>
        <v>-0.48796397737721542</v>
      </c>
      <c r="DN11" s="2">
        <f t="shared" si="74"/>
        <v>0.41057518025044776</v>
      </c>
      <c r="DO11" s="2">
        <f t="shared" si="75"/>
        <v>0.4336177559808303</v>
      </c>
      <c r="DP11" s="2">
        <f t="shared" si="76"/>
        <v>2.5525643400167577</v>
      </c>
      <c r="DQ11" s="2">
        <f t="shared" ca="1" si="77"/>
        <v>14624.609710731178</v>
      </c>
      <c r="DR11" s="2">
        <f t="shared" si="78"/>
        <v>8.1787395191533463</v>
      </c>
      <c r="DS11" s="2">
        <f t="shared" ca="1" si="79"/>
        <v>1514.9751354787127</v>
      </c>
      <c r="DT11" s="2">
        <f t="shared" si="80"/>
        <v>1390.0707686947057</v>
      </c>
      <c r="DU11" s="2">
        <f t="shared" ca="1" si="81"/>
        <v>1493.1337625628498</v>
      </c>
      <c r="DV11" s="9">
        <f t="shared" ca="1" si="82"/>
        <v>2.5862045943983754</v>
      </c>
      <c r="DW11" s="2">
        <f t="shared" ca="1" si="83"/>
        <v>3.0442032733834785</v>
      </c>
      <c r="DX11" s="2">
        <f t="shared" ca="1" si="84"/>
        <v>4543.8589499578811</v>
      </c>
      <c r="DY11" s="2">
        <f t="shared" ca="1" si="146"/>
        <v>1492.6266552849511</v>
      </c>
      <c r="DZ11" s="2">
        <f t="shared" ca="1" si="85"/>
        <v>3.9274381109947081</v>
      </c>
      <c r="EB11" s="2">
        <f t="shared" si="86"/>
        <v>0.79888759431868617</v>
      </c>
      <c r="EC11" s="2">
        <f t="shared" si="87"/>
        <v>1.3450146015853148E-2</v>
      </c>
      <c r="ED11" s="2">
        <f t="shared" si="88"/>
        <v>0.10805054269648227</v>
      </c>
      <c r="EE11" s="2">
        <f t="shared" si="89"/>
        <v>0.14034655532359083</v>
      </c>
      <c r="EF11" s="2">
        <f t="shared" si="90"/>
        <v>2.4668734141528054E-3</v>
      </c>
      <c r="EG11" s="2">
        <f t="shared" si="91"/>
        <v>0.43666253101736974</v>
      </c>
      <c r="EH11" s="2">
        <f t="shared" si="92"/>
        <v>0.1769585116500238</v>
      </c>
      <c r="EI11" s="2">
        <f t="shared" si="93"/>
        <v>2.2423900182854686E-2</v>
      </c>
      <c r="EJ11" s="2">
        <f t="shared" si="94"/>
        <v>5.3945506015569706E-3</v>
      </c>
      <c r="EK11" s="2">
        <f t="shared" si="95"/>
        <v>1.3049104107726385E-4</v>
      </c>
      <c r="EL11" s="2">
        <f t="shared" si="96"/>
        <v>8.0315626320980689E-4</v>
      </c>
      <c r="EM11" s="2">
        <f t="shared" si="97"/>
        <v>1.7055748525248577</v>
      </c>
      <c r="EN11" s="2">
        <f t="shared" si="98"/>
        <v>0.46839785022395719</v>
      </c>
      <c r="EO11" s="2">
        <f t="shared" si="98"/>
        <v>7.885989873702785E-3</v>
      </c>
      <c r="EP11" s="2">
        <f t="shared" si="98"/>
        <v>6.3351392955008107E-2</v>
      </c>
      <c r="EQ11" s="2">
        <f t="shared" si="98"/>
        <v>8.2286951590443524E-2</v>
      </c>
      <c r="ER11" s="2">
        <f t="shared" si="98"/>
        <v>1.4463589273147144E-3</v>
      </c>
      <c r="ES11" s="2">
        <f t="shared" si="98"/>
        <v>0.25602073715554247</v>
      </c>
      <c r="ET11" s="2">
        <f t="shared" si="98"/>
        <v>0.10375300233118601</v>
      </c>
      <c r="EU11" s="2">
        <f t="shared" si="98"/>
        <v>1.3147414872856113E-2</v>
      </c>
      <c r="EV11" s="2">
        <f t="shared" si="98"/>
        <v>3.1628929059144581E-3</v>
      </c>
      <c r="EW11" s="2">
        <f t="shared" si="98"/>
        <v>7.6508539560190316E-5</v>
      </c>
      <c r="EX11" s="2">
        <f t="shared" si="98"/>
        <v>4.709006245142802E-4</v>
      </c>
      <c r="EY11" s="2">
        <f t="shared" si="99"/>
        <v>0.99999999999999967</v>
      </c>
      <c r="EZ11" s="2">
        <f t="shared" si="100"/>
        <v>0.11729468373211323</v>
      </c>
      <c r="FA11" s="2">
        <f t="shared" si="101"/>
        <v>0.55821286867752473</v>
      </c>
      <c r="FB11" s="2">
        <f t="shared" si="102"/>
        <v>1.4858449450927402</v>
      </c>
      <c r="FC11" s="2">
        <f t="shared" si="103"/>
        <v>0.73883841547538154</v>
      </c>
      <c r="FD11" s="2">
        <f t="shared" si="104"/>
        <v>1.3235782564916159</v>
      </c>
      <c r="FE11" s="2">
        <f t="shared" ca="1" si="105"/>
        <v>0.13314167618350847</v>
      </c>
      <c r="FF11" s="2">
        <f t="shared" ca="1" si="106"/>
        <v>8.6519519050010027E-3</v>
      </c>
      <c r="FG11" s="2">
        <f t="shared" ca="1" si="107"/>
        <v>6.4983047780441519E-2</v>
      </c>
      <c r="FH11" s="2">
        <f t="shared" ca="1" si="108"/>
        <v>0.25381946986959036</v>
      </c>
      <c r="FI11" s="2">
        <f t="shared" ca="1" si="147"/>
        <v>8.7623427886687227E-2</v>
      </c>
      <c r="FJ11" s="2">
        <f t="shared" ca="1" si="148"/>
        <v>0.34521948978818362</v>
      </c>
      <c r="FK11" s="2">
        <f t="shared" ca="1" si="149"/>
        <v>8.7623427886687227E-2</v>
      </c>
      <c r="FL11" s="2">
        <f t="shared" ca="1" si="109"/>
        <v>8.7623427886687241E-2</v>
      </c>
      <c r="FP11" s="2">
        <f t="shared" ca="1" si="150"/>
        <v>1.8388717535131724</v>
      </c>
      <c r="FQ11" s="2">
        <f t="shared" ca="1" si="110"/>
        <v>0.16112824648682755</v>
      </c>
      <c r="FR11" s="2">
        <f t="shared" si="151"/>
        <v>0.33333333333333331</v>
      </c>
      <c r="FS11" s="2">
        <f t="shared" ca="1" si="111"/>
        <v>5.3709415495609182E-2</v>
      </c>
      <c r="FT11" s="2">
        <f t="shared" ca="1" si="112"/>
        <v>0.61295725117105748</v>
      </c>
      <c r="FU11" s="2">
        <f t="shared" si="113"/>
        <v>20.026666666666664</v>
      </c>
      <c r="FV11" s="2">
        <f t="shared" ca="1" si="114"/>
        <v>3.8590215033595192</v>
      </c>
      <c r="FW11" s="2">
        <f t="shared" ca="1" si="115"/>
        <v>24.702177222193615</v>
      </c>
      <c r="FX11" s="2">
        <f t="shared" ca="1" si="116"/>
        <v>48.587865392219797</v>
      </c>
      <c r="FY11" s="2">
        <f t="shared" ca="1" si="117"/>
        <v>41.217424361008177</v>
      </c>
      <c r="FZ11" s="2">
        <f t="shared" ca="1" si="117"/>
        <v>7.942356537394728</v>
      </c>
      <c r="GA11" s="2">
        <f t="shared" ca="1" si="117"/>
        <v>50.840219101597093</v>
      </c>
      <c r="GB11" s="2">
        <f t="shared" ca="1" si="118"/>
        <v>91.943587675658634</v>
      </c>
      <c r="GC11" s="2">
        <f t="shared" ca="1" si="119"/>
        <v>2066780721.6896272</v>
      </c>
      <c r="GD11" s="2">
        <f t="shared" si="152"/>
        <v>38</v>
      </c>
      <c r="GE11">
        <f t="shared" ca="1" si="153"/>
        <v>1373.3758036237227</v>
      </c>
      <c r="GF11">
        <f t="shared" ca="1" si="120"/>
        <v>1372.8730005694511</v>
      </c>
      <c r="GG11">
        <f t="shared" ca="1" si="121"/>
        <v>1772.7451998176628</v>
      </c>
      <c r="GH11" s="2">
        <f t="shared" ca="1" si="122"/>
        <v>0.3433200351635905</v>
      </c>
      <c r="GI11" s="2">
        <f t="shared" ca="1" si="123"/>
        <v>1.5708322220497324</v>
      </c>
      <c r="GJ11" s="2">
        <f t="shared" ca="1" si="124"/>
        <v>-2.2918014271935334</v>
      </c>
      <c r="GK11" s="2">
        <f t="shared" ca="1" si="125"/>
        <v>1.7279024244221108</v>
      </c>
      <c r="GL11" s="2">
        <f t="shared" ca="1" si="154"/>
        <v>-0.3433200351635905</v>
      </c>
      <c r="GM11">
        <f t="shared" ca="1" si="155"/>
        <v>0.44211628982464413</v>
      </c>
      <c r="GN11">
        <f t="shared" ca="1" si="156"/>
        <v>8.6419062469404659E-2</v>
      </c>
      <c r="GO11">
        <f t="shared" ca="1" si="157"/>
        <v>-0.20096346417880001</v>
      </c>
      <c r="GP11">
        <f t="shared" ca="1" si="158"/>
        <v>-9.9345897751839871E-2</v>
      </c>
      <c r="GQ11">
        <f t="shared" ca="1" si="159"/>
        <v>0.30303258637903896</v>
      </c>
      <c r="GR11">
        <f t="shared" ca="1" si="160"/>
        <v>0.19546681372830871</v>
      </c>
      <c r="GS11">
        <f t="shared" ca="1" si="161"/>
        <v>-1.5198503957555481E-2</v>
      </c>
      <c r="GT11">
        <f t="shared" ca="1" si="162"/>
        <v>1.2445785260179504E-3</v>
      </c>
      <c r="GU11">
        <f t="shared" ca="1" si="163"/>
        <v>0.28526879130839516</v>
      </c>
      <c r="GV11">
        <f t="shared" ca="1" si="164"/>
        <v>-0.37706814039270159</v>
      </c>
      <c r="GW11">
        <f t="shared" ca="1" si="165"/>
        <v>0.3503169407403377</v>
      </c>
      <c r="GY11" s="15">
        <f t="shared" si="166"/>
        <v>0.16445842951021097</v>
      </c>
      <c r="GZ11" s="2">
        <f t="shared" si="167"/>
        <v>7.1313891368271085E-2</v>
      </c>
      <c r="HA11" s="2">
        <f t="shared" si="168"/>
        <v>7.1735127524675354E-2</v>
      </c>
      <c r="HB11" s="2">
        <f t="shared" si="169"/>
        <v>0.30750744840315741</v>
      </c>
      <c r="HC11" s="2">
        <f t="shared" si="170"/>
        <v>0.53481120657148395</v>
      </c>
      <c r="HD11" s="2">
        <f t="shared" si="171"/>
        <v>0.23190947646502227</v>
      </c>
      <c r="HE11" s="2">
        <f t="shared" si="172"/>
        <v>0.23327931696349374</v>
      </c>
      <c r="HF11" s="2">
        <f t="shared" si="127"/>
        <v>-1.2933665640652385</v>
      </c>
      <c r="HG11" s="2">
        <f t="shared" si="128"/>
        <v>-1.2945796894876782</v>
      </c>
      <c r="HH11" s="2">
        <f t="shared" si="173"/>
        <v>-1.2939731267764585</v>
      </c>
      <c r="HI11" s="2">
        <f t="shared" si="129"/>
        <v>2.593504981805594</v>
      </c>
      <c r="HJ11" s="2">
        <f t="shared" si="130"/>
        <v>0.16142815255807624</v>
      </c>
      <c r="HK11" s="2">
        <f t="shared" si="131"/>
        <v>0.33978482994739534</v>
      </c>
      <c r="HL11" s="2">
        <f t="shared" si="132"/>
        <v>0.79532720475212959</v>
      </c>
    </row>
    <row r="12" spans="1:220" s="2" customFormat="1" ht="20.25">
      <c r="A12" s="88" t="s">
        <v>159</v>
      </c>
      <c r="B12" s="77">
        <v>122</v>
      </c>
      <c r="C12" s="94">
        <f t="shared" ca="1" si="133"/>
        <v>-4.0821847892341889</v>
      </c>
      <c r="D12" s="59">
        <f t="shared" ca="1" si="0"/>
        <v>-4.0917986229057774</v>
      </c>
      <c r="E12" s="60">
        <f t="shared" ca="1" si="1"/>
        <v>-4.0821847892341889</v>
      </c>
      <c r="F12" s="66">
        <v>47.643923076923073</v>
      </c>
      <c r="G12" s="66">
        <v>0.57238461538461527</v>
      </c>
      <c r="H12" s="66">
        <v>11.678923076923079</v>
      </c>
      <c r="I12" s="66">
        <v>10.036769230769231</v>
      </c>
      <c r="J12" s="66">
        <v>0.16999999999999998</v>
      </c>
      <c r="K12" s="66">
        <v>18.562076923076923</v>
      </c>
      <c r="L12" s="66">
        <v>9.7523846153846154</v>
      </c>
      <c r="M12" s="66">
        <v>1.2678461538461541</v>
      </c>
      <c r="N12" s="66">
        <v>5.315384615384617E-2</v>
      </c>
      <c r="O12" s="66">
        <v>6.1999999999999986E-2</v>
      </c>
      <c r="P12" s="66">
        <v>4.7615384615384615E-2</v>
      </c>
      <c r="Q12" s="66">
        <v>0.28384615384615386</v>
      </c>
      <c r="R12" s="3">
        <f t="shared" si="134"/>
        <v>99.847076923076912</v>
      </c>
      <c r="S12" s="104">
        <f t="shared" ca="1" si="2"/>
        <v>2.3129901737211784</v>
      </c>
      <c r="T12" s="104">
        <f t="shared" ca="1" si="135"/>
        <v>0.34698027919907709</v>
      </c>
      <c r="U12" s="105">
        <f t="shared" ca="1" si="3"/>
        <v>1538.7835986790042</v>
      </c>
      <c r="V12" s="105">
        <f t="shared" ca="1" si="3"/>
        <v>1504.8511775167585</v>
      </c>
      <c r="W12" s="105">
        <f t="shared" ca="1" si="4"/>
        <v>1511.7906664780248</v>
      </c>
      <c r="X12" s="101">
        <f t="shared" ca="1" si="5"/>
        <v>1657.1166248828242</v>
      </c>
      <c r="Y12" s="101">
        <f t="shared" ca="1" si="6"/>
        <v>1593.0110527993436</v>
      </c>
      <c r="Z12" s="103">
        <f t="shared" ca="1" si="7"/>
        <v>1644.2186758069899</v>
      </c>
      <c r="AA12" s="103">
        <f t="shared" ca="1" si="8"/>
        <v>1610.2771311021131</v>
      </c>
      <c r="AB12" s="103">
        <f t="shared" ca="1" si="136"/>
        <v>47.976162237659395</v>
      </c>
      <c r="AC12" s="4">
        <v>13.3</v>
      </c>
      <c r="AD12" s="273">
        <f t="shared" ca="1" si="9"/>
        <v>11.774657585581203</v>
      </c>
      <c r="AE12" s="3">
        <f t="shared" ca="1" si="10"/>
        <v>112.20787114860626</v>
      </c>
      <c r="AF12" s="3">
        <f t="shared" ca="1" si="11"/>
        <v>213.40752187091732</v>
      </c>
      <c r="AG12" s="2">
        <f t="shared" ca="1" si="12"/>
        <v>525.79154738733541</v>
      </c>
      <c r="AH12" s="2">
        <f t="shared" ca="1" si="13"/>
        <v>132.66062087973546</v>
      </c>
      <c r="AI12" s="85">
        <f t="shared" si="14"/>
        <v>0.37019968229154343</v>
      </c>
      <c r="AJ12" s="85">
        <f t="shared" ca="1" si="15"/>
        <v>2.3129901737211784</v>
      </c>
      <c r="AK12" s="85">
        <f t="shared" ca="1" si="16"/>
        <v>0.28586585198838721</v>
      </c>
      <c r="AL12" s="86">
        <f t="shared" ca="1" si="17"/>
        <v>0.27842547449139593</v>
      </c>
      <c r="AM12" s="85">
        <f t="shared" ca="1" si="18"/>
        <v>0.34698027919907709</v>
      </c>
      <c r="AN12" s="85">
        <f t="shared" ca="1" si="19"/>
        <v>0.34698027919907676</v>
      </c>
      <c r="AO12" s="96">
        <f t="shared" ca="1" si="20"/>
        <v>41.265620208127629</v>
      </c>
      <c r="AP12" s="96">
        <f t="shared" ca="1" si="21"/>
        <v>7.6853527859923876</v>
      </c>
      <c r="AQ12" s="96">
        <f t="shared" ca="1" si="22"/>
        <v>51.049027005879985</v>
      </c>
      <c r="AR12" s="2">
        <f t="shared" ca="1" si="137"/>
        <v>92.21338706131408</v>
      </c>
      <c r="AS12" s="53">
        <f t="shared" ca="1" si="138"/>
        <v>80.427206825612501</v>
      </c>
      <c r="AT12" s="53">
        <f t="shared" ca="1" si="139"/>
        <v>92.213387061314066</v>
      </c>
      <c r="AU12" s="63">
        <f t="shared" ca="1" si="23"/>
        <v>0.34698027919907676</v>
      </c>
      <c r="AV12" s="53">
        <f t="shared" si="24"/>
        <v>2.4414773491926418</v>
      </c>
      <c r="AW12" s="53">
        <f t="shared" ca="1" si="25"/>
        <v>2.4683436055472918</v>
      </c>
      <c r="AX12" s="54">
        <f t="shared" ca="1" si="26"/>
        <v>1544.076878361278</v>
      </c>
      <c r="AY12" s="54">
        <f t="shared" ca="1" si="27"/>
        <v>1538.7835986790042</v>
      </c>
      <c r="AZ12" s="54">
        <f t="shared" ca="1" si="28"/>
        <v>1504.8511775167585</v>
      </c>
      <c r="BA12" s="34"/>
      <c r="BB12" s="63">
        <f t="shared" ca="1" si="140"/>
        <v>0.25230649206691835</v>
      </c>
      <c r="BC12" s="63">
        <f t="shared" ca="1" si="141"/>
        <v>2.7050948405520428E-2</v>
      </c>
      <c r="BD12" s="53">
        <f t="shared" si="29"/>
        <v>0.17636459230769205</v>
      </c>
      <c r="BE12" s="53">
        <f t="shared" ca="1" si="30"/>
        <v>0.2714344011219893</v>
      </c>
      <c r="BF12" s="53">
        <f t="shared" ca="1" si="31"/>
        <v>0.19276722987032405</v>
      </c>
      <c r="BG12"/>
      <c r="BH12" s="53">
        <f t="shared" ca="1" si="32"/>
        <v>0.18574292841648607</v>
      </c>
      <c r="BI12" s="53">
        <f t="shared" ca="1" si="33"/>
        <v>0.23317858301184746</v>
      </c>
      <c r="BJ12"/>
      <c r="BK12" s="53">
        <f t="shared" ca="1" si="142"/>
        <v>0.39597276937222448</v>
      </c>
      <c r="BL12" s="53">
        <f t="shared" si="34"/>
        <v>0.21249761288912919</v>
      </c>
      <c r="BM12" s="53">
        <f t="shared" si="143"/>
        <v>0.35018161843346618</v>
      </c>
      <c r="BN12" s="53">
        <f t="shared" si="35"/>
        <v>0.30053818491877377</v>
      </c>
      <c r="BO12" s="53">
        <f t="shared" si="36"/>
        <v>0.35815612371560812</v>
      </c>
      <c r="BP12" s="53">
        <f t="shared" si="37"/>
        <v>0.37809659246588612</v>
      </c>
      <c r="BQ12" s="54">
        <f t="shared" si="38"/>
        <v>1417.786564971361</v>
      </c>
      <c r="BR12" s="262">
        <f t="shared" si="39"/>
        <v>4.0363015462502227</v>
      </c>
      <c r="BS12" s="54">
        <f t="shared" si="144"/>
        <v>1604.7133665140168</v>
      </c>
      <c r="BT12"/>
      <c r="BU12" s="2">
        <f t="shared" si="40"/>
        <v>0.79300804056130281</v>
      </c>
      <c r="BV12" s="2">
        <f t="shared" si="41"/>
        <v>7.1637623953018179E-3</v>
      </c>
      <c r="BW12" s="2">
        <f t="shared" si="42"/>
        <v>0.22908833026526246</v>
      </c>
      <c r="BX12" s="2">
        <f t="shared" si="43"/>
        <v>0.13969059472190998</v>
      </c>
      <c r="BY12" s="2">
        <f t="shared" si="44"/>
        <v>2.3963913166055819E-3</v>
      </c>
      <c r="BZ12" s="2">
        <f t="shared" si="45"/>
        <v>0.46059744225997329</v>
      </c>
      <c r="CA12" s="2">
        <f t="shared" si="46"/>
        <v>0.173901294853506</v>
      </c>
      <c r="CB12" s="2">
        <f t="shared" si="47"/>
        <v>4.0911460272544505E-2</v>
      </c>
      <c r="CC12" s="2">
        <f t="shared" si="48"/>
        <v>1.1285317654744409E-3</v>
      </c>
      <c r="CD12" s="2">
        <f t="shared" si="49"/>
        <v>8.1584314757549817E-4</v>
      </c>
      <c r="CE12" s="2">
        <f t="shared" si="50"/>
        <v>6.7092270840333405E-4</v>
      </c>
      <c r="CF12" s="2">
        <f t="shared" si="51"/>
        <v>1.8493726142678597</v>
      </c>
      <c r="CG12" s="2">
        <f t="shared" si="52"/>
        <v>0.42879841219842191</v>
      </c>
      <c r="CH12" s="2">
        <f t="shared" si="52"/>
        <v>3.8736176474300447E-3</v>
      </c>
      <c r="CI12" s="2">
        <f t="shared" si="52"/>
        <v>0.12387353878707416</v>
      </c>
      <c r="CJ12" s="2">
        <f t="shared" si="52"/>
        <v>7.5534045245506942E-2</v>
      </c>
      <c r="CK12" s="2">
        <f t="shared" si="52"/>
        <v>1.295786094223245E-3</v>
      </c>
      <c r="CL12" s="2">
        <f t="shared" si="52"/>
        <v>0.24905605214788867</v>
      </c>
      <c r="CM12" s="2">
        <f t="shared" si="52"/>
        <v>9.4032588950361984E-2</v>
      </c>
      <c r="CN12" s="2">
        <f t="shared" si="52"/>
        <v>2.2121804960727597E-2</v>
      </c>
      <c r="CO12" s="2">
        <f t="shared" si="52"/>
        <v>6.1022411425791046E-4</v>
      </c>
      <c r="CP12" s="2">
        <f t="shared" si="53"/>
        <v>4.4114590065911559E-4</v>
      </c>
      <c r="CQ12" s="2">
        <f t="shared" si="54"/>
        <v>3.6278395344842003E-4</v>
      </c>
      <c r="CS12" s="2">
        <f t="shared" ca="1" si="55"/>
        <v>0.6868445440766916</v>
      </c>
      <c r="CT12" s="2">
        <f t="shared" ca="1" si="56"/>
        <v>0.10696385227546817</v>
      </c>
      <c r="CU12" s="2">
        <f t="shared" ca="1" si="57"/>
        <v>1.2667252358779153</v>
      </c>
      <c r="CV12" s="2">
        <f t="shared" ca="1" si="58"/>
        <v>2.0605336322300749</v>
      </c>
      <c r="CW12" s="2">
        <f t="shared" ca="1" si="59"/>
        <v>0.33333333333333331</v>
      </c>
      <c r="CX12" s="2">
        <f t="shared" ca="1" si="60"/>
        <v>5.1910752924572895E-2</v>
      </c>
      <c r="CY12" s="2">
        <f t="shared" ca="1" si="61"/>
        <v>0.61475591374209382</v>
      </c>
      <c r="CZ12" s="2">
        <f t="shared" si="62"/>
        <v>0.41991847243798086</v>
      </c>
      <c r="DA12" s="2">
        <f t="shared" si="63"/>
        <v>0.42879841219842191</v>
      </c>
      <c r="DB12" s="2">
        <f t="shared" si="64"/>
        <v>-0.4900249039702404</v>
      </c>
      <c r="DD12" s="2">
        <f t="shared" ca="1" si="65"/>
        <v>1544.076878361278</v>
      </c>
      <c r="DE12" s="2">
        <f t="shared" ca="1" si="66"/>
        <v>14746.22084744468</v>
      </c>
      <c r="DF12" s="2">
        <f t="shared" si="67"/>
        <v>8.1146834349833039</v>
      </c>
      <c r="DG12" s="2">
        <f t="shared" si="68"/>
        <v>1676.332282210599</v>
      </c>
      <c r="DH12" s="2">
        <f t="shared" si="69"/>
        <v>1403.1822822105992</v>
      </c>
      <c r="DI12" s="2">
        <f t="shared" si="145"/>
        <v>13602.905801982104</v>
      </c>
      <c r="DJ12" s="2">
        <f t="shared" si="70"/>
        <v>8.1146834349833039</v>
      </c>
      <c r="DK12" s="2">
        <f t="shared" si="71"/>
        <v>1676.332282210599</v>
      </c>
      <c r="DL12" s="2">
        <f t="shared" ca="1" si="72"/>
        <v>2.3129901737211784</v>
      </c>
      <c r="DM12" s="2">
        <f t="shared" si="73"/>
        <v>-0.4900249039702404</v>
      </c>
      <c r="DN12" s="2">
        <f t="shared" si="74"/>
        <v>0.41991847243798086</v>
      </c>
      <c r="DO12" s="2">
        <f t="shared" si="75"/>
        <v>0.42879841219842191</v>
      </c>
      <c r="DP12" s="2">
        <f t="shared" si="76"/>
        <v>2.4414773491926418</v>
      </c>
      <c r="DQ12" s="2">
        <f t="shared" ca="1" si="77"/>
        <v>14746.311042870373</v>
      </c>
      <c r="DR12" s="2">
        <f t="shared" si="78"/>
        <v>8.1144602078111685</v>
      </c>
      <c r="DS12" s="2">
        <f t="shared" ca="1" si="79"/>
        <v>1544.1379853024887</v>
      </c>
      <c r="DT12" s="2">
        <f t="shared" si="80"/>
        <v>1403.2460980306964</v>
      </c>
      <c r="DU12" s="2">
        <f t="shared" ca="1" si="81"/>
        <v>1517.4477203241786</v>
      </c>
      <c r="DV12" s="9">
        <f t="shared" ca="1" si="82"/>
        <v>2.4683436055472918</v>
      </c>
      <c r="DW12" s="2">
        <f t="shared" ca="1" si="83"/>
        <v>3.0116135321806272</v>
      </c>
      <c r="DX12" s="2">
        <f t="shared" ca="1" si="84"/>
        <v>4557.4226286702997</v>
      </c>
      <c r="DY12" s="2">
        <f t="shared" ca="1" si="146"/>
        <v>1513.2826904820004</v>
      </c>
      <c r="DZ12" s="2">
        <f t="shared" ca="1" si="85"/>
        <v>3.769459063589804</v>
      </c>
      <c r="EB12" s="2">
        <f t="shared" si="86"/>
        <v>0.79300804056130281</v>
      </c>
      <c r="EC12" s="2">
        <f t="shared" si="87"/>
        <v>7.1637623953018179E-3</v>
      </c>
      <c r="ED12" s="2">
        <f t="shared" si="88"/>
        <v>0.11454416513263123</v>
      </c>
      <c r="EE12" s="2">
        <f t="shared" si="89"/>
        <v>0.13969059472190998</v>
      </c>
      <c r="EF12" s="2">
        <f t="shared" si="90"/>
        <v>2.3963913166055819E-3</v>
      </c>
      <c r="EG12" s="2">
        <f t="shared" si="91"/>
        <v>0.46059744225997329</v>
      </c>
      <c r="EH12" s="2">
        <f t="shared" si="92"/>
        <v>0.173901294853506</v>
      </c>
      <c r="EI12" s="2">
        <f t="shared" si="93"/>
        <v>2.0455730136272252E-2</v>
      </c>
      <c r="EJ12" s="2">
        <f t="shared" si="94"/>
        <v>5.6426588273722044E-4</v>
      </c>
      <c r="EK12" s="2">
        <f t="shared" si="95"/>
        <v>4.0792157378774908E-4</v>
      </c>
      <c r="EL12" s="2">
        <f t="shared" si="96"/>
        <v>3.3546135420166703E-4</v>
      </c>
      <c r="EM12" s="2">
        <f t="shared" si="97"/>
        <v>1.7130650701882295</v>
      </c>
      <c r="EN12" s="2">
        <f t="shared" si="98"/>
        <v>0.46291764064406965</v>
      </c>
      <c r="EO12" s="2">
        <f t="shared" si="98"/>
        <v>4.1818390439276616E-3</v>
      </c>
      <c r="EP12" s="2">
        <f t="shared" si="98"/>
        <v>6.6865040403891518E-2</v>
      </c>
      <c r="EQ12" s="2">
        <f t="shared" si="98"/>
        <v>8.1544243212291367E-2</v>
      </c>
      <c r="ER12" s="2">
        <f t="shared" si="98"/>
        <v>1.3988910043809773E-3</v>
      </c>
      <c r="ES12" s="2">
        <f t="shared" si="98"/>
        <v>0.26887329049874525</v>
      </c>
      <c r="ET12" s="2">
        <f t="shared" si="98"/>
        <v>0.10151470477090396</v>
      </c>
      <c r="EU12" s="2">
        <f t="shared" si="98"/>
        <v>1.1941011752708612E-2</v>
      </c>
      <c r="EV12" s="2">
        <f t="shared" si="98"/>
        <v>3.293896376482766E-4</v>
      </c>
      <c r="EW12" s="2">
        <f t="shared" si="98"/>
        <v>2.3812380561990395E-4</v>
      </c>
      <c r="EX12" s="2">
        <f t="shared" si="98"/>
        <v>1.9582522581282154E-4</v>
      </c>
      <c r="EY12" s="2">
        <f t="shared" si="99"/>
        <v>1</v>
      </c>
      <c r="EZ12" s="2">
        <f t="shared" si="100"/>
        <v>0.12387353878707416</v>
      </c>
      <c r="FA12" s="2">
        <f t="shared" si="101"/>
        <v>0.55654556863292615</v>
      </c>
      <c r="FB12" s="2">
        <f t="shared" si="102"/>
        <v>1.4840075335823986</v>
      </c>
      <c r="FC12" s="2">
        <f t="shared" si="103"/>
        <v>0.74183279263309254</v>
      </c>
      <c r="FD12" s="2">
        <f t="shared" si="104"/>
        <v>1.332923725285061</v>
      </c>
      <c r="FE12" s="2">
        <f t="shared" ca="1" si="105"/>
        <v>0.12311158817796915</v>
      </c>
      <c r="FF12" s="2">
        <f t="shared" ca="1" si="106"/>
        <v>8.0555726125963838E-3</v>
      </c>
      <c r="FG12" s="2">
        <f t="shared" ca="1" si="107"/>
        <v>6.5433097987098593E-2</v>
      </c>
      <c r="FH12" s="2">
        <f t="shared" ca="1" si="108"/>
        <v>0.24336034964917405</v>
      </c>
      <c r="FI12" s="2">
        <f t="shared" ca="1" si="147"/>
        <v>8.4441242067255354E-2</v>
      </c>
      <c r="FJ12" s="2">
        <f t="shared" ca="1" si="148"/>
        <v>0.34698027919907676</v>
      </c>
      <c r="FK12" s="2">
        <f t="shared" ca="1" si="149"/>
        <v>8.444124206725534E-2</v>
      </c>
      <c r="FL12" s="2">
        <f t="shared" ca="1" si="109"/>
        <v>8.4441242067255437E-2</v>
      </c>
      <c r="FP12" s="2">
        <f t="shared" ca="1" si="150"/>
        <v>1.8442677412262813</v>
      </c>
      <c r="FQ12" s="2">
        <f t="shared" ca="1" si="110"/>
        <v>0.15573225877371866</v>
      </c>
      <c r="FR12" s="2">
        <f t="shared" si="151"/>
        <v>0.33333333333333331</v>
      </c>
      <c r="FS12" s="2">
        <f t="shared" ca="1" si="111"/>
        <v>5.1910752924572888E-2</v>
      </c>
      <c r="FT12" s="2">
        <f t="shared" ca="1" si="112"/>
        <v>0.61475591374209382</v>
      </c>
      <c r="FU12" s="2">
        <f t="shared" si="113"/>
        <v>20.026666666666664</v>
      </c>
      <c r="FV12" s="2">
        <f t="shared" ca="1" si="114"/>
        <v>3.7297875976305619</v>
      </c>
      <c r="FW12" s="2">
        <f t="shared" ca="1" si="115"/>
        <v>24.774663323806379</v>
      </c>
      <c r="FX12" s="2">
        <f t="shared" ca="1" si="116"/>
        <v>48.531117588103605</v>
      </c>
      <c r="FY12" s="2">
        <f t="shared" ca="1" si="117"/>
        <v>41.265620208127629</v>
      </c>
      <c r="FZ12" s="2">
        <f t="shared" ca="1" si="117"/>
        <v>7.6853527859923876</v>
      </c>
      <c r="GA12" s="2">
        <f t="shared" ca="1" si="117"/>
        <v>51.049027005879985</v>
      </c>
      <c r="GB12" s="2">
        <f t="shared" ca="1" si="118"/>
        <v>92.21338706131408</v>
      </c>
      <c r="GC12" s="2">
        <f t="shared" ca="1" si="119"/>
        <v>2312990173.7211785</v>
      </c>
      <c r="GD12" s="2">
        <f t="shared" si="152"/>
        <v>38</v>
      </c>
      <c r="GE12">
        <f t="shared" ca="1" si="153"/>
        <v>1400.5536219840596</v>
      </c>
      <c r="GF12">
        <f t="shared" ca="1" si="120"/>
        <v>1400.090384320343</v>
      </c>
      <c r="GG12">
        <f t="shared" ca="1" si="121"/>
        <v>1787.0253786542996</v>
      </c>
      <c r="GH12" s="2">
        <f t="shared" ca="1" si="122"/>
        <v>0.35844060731027488</v>
      </c>
      <c r="GI12" s="2">
        <f t="shared" ca="1" si="123"/>
        <v>1.496476967536204</v>
      </c>
      <c r="GJ12" s="2">
        <f t="shared" ca="1" si="124"/>
        <v>-2.1509696206314866</v>
      </c>
      <c r="GK12" s="2">
        <f t="shared" ca="1" si="125"/>
        <v>1.6611796629215605</v>
      </c>
      <c r="GL12" s="2">
        <f t="shared" ca="1" si="154"/>
        <v>-0.35844060731027488</v>
      </c>
      <c r="GM12">
        <f t="shared" ca="1" si="155"/>
        <v>0.43161488762921635</v>
      </c>
      <c r="GN12">
        <f t="shared" ca="1" si="156"/>
        <v>8.0406146521381422E-2</v>
      </c>
      <c r="GO12">
        <f t="shared" ca="1" si="157"/>
        <v>-0.19441056033845391</v>
      </c>
      <c r="GP12">
        <f t="shared" ca="1" si="158"/>
        <v>-0.10788736923249949</v>
      </c>
      <c r="GQ12">
        <f t="shared" ca="1" si="159"/>
        <v>0.30028398913101517</v>
      </c>
      <c r="GR12">
        <f t="shared" ca="1" si="160"/>
        <v>0.18629141122318105</v>
      </c>
      <c r="GS12">
        <f t="shared" ca="1" si="161"/>
        <v>-6.1170445845730032E-3</v>
      </c>
      <c r="GT12">
        <f t="shared" ca="1" si="162"/>
        <v>1.4812546463101367E-3</v>
      </c>
      <c r="GU12">
        <f t="shared" ca="1" si="163"/>
        <v>0.32027680844285605</v>
      </c>
      <c r="GV12">
        <f t="shared" ca="1" si="164"/>
        <v>-0.35591892669984793</v>
      </c>
      <c r="GW12">
        <f t="shared" ca="1" si="165"/>
        <v>0.39597276937222448</v>
      </c>
      <c r="GY12" s="15">
        <f t="shared" si="166"/>
        <v>0.15999286367949456</v>
      </c>
      <c r="GZ12" s="2">
        <f t="shared" si="167"/>
        <v>7.1285003253439089E-2</v>
      </c>
      <c r="HA12" s="2">
        <f t="shared" si="168"/>
        <v>6.5362753767123388E-2</v>
      </c>
      <c r="HB12" s="2">
        <f t="shared" si="169"/>
        <v>0.29664062070005703</v>
      </c>
      <c r="HC12" s="2">
        <f t="shared" si="170"/>
        <v>0.53934914005344037</v>
      </c>
      <c r="HD12" s="2">
        <f t="shared" si="171"/>
        <v>0.24030762572303835</v>
      </c>
      <c r="HE12" s="2">
        <f t="shared" si="172"/>
        <v>0.22034323422352123</v>
      </c>
      <c r="HF12" s="2">
        <f t="shared" si="127"/>
        <v>-1.3121543899787889</v>
      </c>
      <c r="HG12" s="2">
        <f t="shared" si="128"/>
        <v>-1.3113422073476351</v>
      </c>
      <c r="HH12" s="2">
        <f t="shared" si="173"/>
        <v>-1.3117482986632121</v>
      </c>
      <c r="HI12" s="2">
        <f t="shared" si="129"/>
        <v>2.5043712747176063</v>
      </c>
      <c r="HJ12" s="2">
        <f t="shared" si="130"/>
        <v>0.17214618412572152</v>
      </c>
      <c r="HK12" s="2">
        <f t="shared" si="131"/>
        <v>0.34177688787052635</v>
      </c>
      <c r="HL12" s="2">
        <f t="shared" si="132"/>
        <v>0.79906191082021483</v>
      </c>
    </row>
    <row r="13" spans="1:220" s="2" customFormat="1" ht="20.25">
      <c r="A13" s="88" t="s">
        <v>160</v>
      </c>
      <c r="B13" s="77">
        <v>190</v>
      </c>
      <c r="C13" s="94">
        <f t="shared" ca="1" si="133"/>
        <v>-5.251911231580479</v>
      </c>
      <c r="D13" s="59">
        <f t="shared" ca="1" si="0"/>
        <v>-5.4534784917661892</v>
      </c>
      <c r="E13" s="60">
        <f t="shared" ca="1" si="1"/>
        <v>-5.251911231580479</v>
      </c>
      <c r="F13" s="66">
        <v>48.427666666666674</v>
      </c>
      <c r="G13" s="66">
        <v>0.35055555555555551</v>
      </c>
      <c r="H13" s="66">
        <v>15.386555555555553</v>
      </c>
      <c r="I13" s="66">
        <v>8.3355222222222221</v>
      </c>
      <c r="J13" s="66">
        <v>0.14733333333333334</v>
      </c>
      <c r="K13" s="66">
        <v>13.931666666666667</v>
      </c>
      <c r="L13" s="66">
        <v>11.239555555555556</v>
      </c>
      <c r="M13" s="66">
        <v>1.68</v>
      </c>
      <c r="N13" s="66">
        <v>0.26466666666666666</v>
      </c>
      <c r="O13" s="66">
        <v>9.6333333333333326E-2</v>
      </c>
      <c r="P13" s="66">
        <v>6.2000000000000006E-2</v>
      </c>
      <c r="Q13" s="66">
        <v>0.17477777777777778</v>
      </c>
      <c r="R13" s="3">
        <f t="shared" si="134"/>
        <v>99.921855555555581</v>
      </c>
      <c r="S13" s="104">
        <f t="shared" ca="1" si="2"/>
        <v>1.6206875653181476</v>
      </c>
      <c r="T13" s="104">
        <f t="shared" ca="1" si="135"/>
        <v>0.34266189976387856</v>
      </c>
      <c r="U13" s="105">
        <f t="shared" ca="1" si="3"/>
        <v>1409.1502520330068</v>
      </c>
      <c r="V13" s="105">
        <f t="shared" ca="1" si="3"/>
        <v>1388.0726372814675</v>
      </c>
      <c r="W13" s="105">
        <f t="shared" ca="1" si="4"/>
        <v>1395.2186651969657</v>
      </c>
      <c r="X13" s="101">
        <f t="shared" ca="1" si="5"/>
        <v>1450.1577087727449</v>
      </c>
      <c r="Y13" s="101">
        <f t="shared" ca="1" si="6"/>
        <v>1424.4771996259728</v>
      </c>
      <c r="Z13" s="103">
        <f t="shared" ca="1" si="7"/>
        <v>1445.0637667049773</v>
      </c>
      <c r="AA13" s="103">
        <f t="shared" ca="1" si="8"/>
        <v>1426.5076262296329</v>
      </c>
      <c r="AB13" s="103">
        <f t="shared" ca="1" si="136"/>
        <v>23.004440281424813</v>
      </c>
      <c r="AC13" s="4">
        <v>13.3</v>
      </c>
      <c r="AD13" s="273">
        <f t="shared" ca="1" si="9"/>
        <v>10.90799651450839</v>
      </c>
      <c r="AE13" s="3">
        <f t="shared" ca="1" si="10"/>
        <v>102.35902713693825</v>
      </c>
      <c r="AF13" s="3">
        <f t="shared" ca="1" si="11"/>
        <v>212.48665478117405</v>
      </c>
      <c r="AG13" s="2">
        <f t="shared" ca="1" si="12"/>
        <v>481.71979196694042</v>
      </c>
      <c r="AH13" s="2">
        <f t="shared" ca="1" si="13"/>
        <v>56.113443261762974</v>
      </c>
      <c r="AI13" s="85">
        <f t="shared" si="14"/>
        <v>0.30344289143308556</v>
      </c>
      <c r="AJ13" s="85">
        <f t="shared" ca="1" si="15"/>
        <v>1.6206875653181476</v>
      </c>
      <c r="AK13" s="85">
        <f t="shared" ca="1" si="16"/>
        <v>0.28100440781754843</v>
      </c>
      <c r="AL13" s="86">
        <f t="shared" ca="1" si="17"/>
        <v>0.27710272165797711</v>
      </c>
      <c r="AM13" s="85">
        <f t="shared" ca="1" si="18"/>
        <v>0.34266189976387856</v>
      </c>
      <c r="AN13" s="85">
        <f t="shared" ca="1" si="19"/>
        <v>0.34266189976387851</v>
      </c>
      <c r="AO13" s="96">
        <f t="shared" ca="1" si="20"/>
        <v>41.136991875095845</v>
      </c>
      <c r="AP13" s="96">
        <f t="shared" ca="1" si="21"/>
        <v>8.371261761590711</v>
      </c>
      <c r="AQ13" s="96">
        <f t="shared" ca="1" si="22"/>
        <v>50.491746363313453</v>
      </c>
      <c r="AR13" s="2">
        <f t="shared" ca="1" si="137"/>
        <v>91.491920348296858</v>
      </c>
      <c r="AS13" s="53">
        <f t="shared" ca="1" si="138"/>
        <v>78.654491189461396</v>
      </c>
      <c r="AT13" s="53">
        <f t="shared" ca="1" si="139"/>
        <v>91.491920348296858</v>
      </c>
      <c r="AU13" s="63">
        <f t="shared" ca="1" si="23"/>
        <v>0.34266189976387851</v>
      </c>
      <c r="AV13" s="53">
        <f t="shared" si="24"/>
        <v>3.2063239992743164</v>
      </c>
      <c r="AW13" s="53">
        <f t="shared" ca="1" si="25"/>
        <v>3.2437099636857529</v>
      </c>
      <c r="AX13" s="54">
        <f t="shared" ca="1" si="26"/>
        <v>1409.9894719703966</v>
      </c>
      <c r="AY13" s="54">
        <f t="shared" ca="1" si="27"/>
        <v>1409.1502520330068</v>
      </c>
      <c r="AZ13" s="54">
        <f t="shared" ca="1" si="28"/>
        <v>1388.0726372814675</v>
      </c>
      <c r="BA13" s="34"/>
      <c r="BB13" s="63">
        <f t="shared" ca="1" si="140"/>
        <v>0.11648565036666365</v>
      </c>
      <c r="BC13" s="63">
        <f t="shared" ca="1" si="141"/>
        <v>1.0683556218566781E-2</v>
      </c>
      <c r="BD13" s="53">
        <f t="shared" si="29"/>
        <v>9.375774444444479E-2</v>
      </c>
      <c r="BE13" s="53">
        <f t="shared" ca="1" si="30"/>
        <v>0.10893123531732737</v>
      </c>
      <c r="BF13" s="53">
        <f t="shared" ca="1" si="31"/>
        <v>0.11674287103634096</v>
      </c>
      <c r="BG13"/>
      <c r="BH13" s="53">
        <f t="shared" ca="1" si="32"/>
        <v>8.5955371441846257E-2</v>
      </c>
      <c r="BI13" s="53">
        <f t="shared" ca="1" si="33"/>
        <v>0.12404006541599993</v>
      </c>
      <c r="BJ13"/>
      <c r="BK13" s="53">
        <f t="shared" ca="1" si="142"/>
        <v>0.15081968315388633</v>
      </c>
      <c r="BL13" s="53">
        <f t="shared" si="34"/>
        <v>9.374490315630854E-2</v>
      </c>
      <c r="BM13" s="53">
        <f t="shared" si="143"/>
        <v>0.13142861929132324</v>
      </c>
      <c r="BN13" s="53">
        <f t="shared" si="35"/>
        <v>0.23538948628336587</v>
      </c>
      <c r="BO13" s="53">
        <f t="shared" si="36"/>
        <v>0.22652075604764887</v>
      </c>
      <c r="BP13" s="53">
        <f t="shared" si="37"/>
        <v>0.32620031317425846</v>
      </c>
      <c r="BQ13" s="54">
        <f t="shared" si="38"/>
        <v>1328.8780528888888</v>
      </c>
      <c r="BR13" s="262">
        <f t="shared" si="39"/>
        <v>2.3396105835369974</v>
      </c>
      <c r="BS13" s="54">
        <f t="shared" si="144"/>
        <v>1446.5614144695051</v>
      </c>
      <c r="BT13"/>
      <c r="BU13" s="2">
        <f t="shared" si="40"/>
        <v>0.80605304039059045</v>
      </c>
      <c r="BV13" s="2">
        <f t="shared" si="41"/>
        <v>4.3874287303573905E-3</v>
      </c>
      <c r="BW13" s="2">
        <f t="shared" si="42"/>
        <v>0.30181552678610346</v>
      </c>
      <c r="BX13" s="2">
        <f t="shared" si="43"/>
        <v>0.11601283538235523</v>
      </c>
      <c r="BY13" s="2">
        <f t="shared" si="44"/>
        <v>2.0768724743915048E-3</v>
      </c>
      <c r="BZ13" s="2">
        <f t="shared" si="45"/>
        <v>0.3456989247311828</v>
      </c>
      <c r="CA13" s="2">
        <f t="shared" si="46"/>
        <v>0.2004200348708195</v>
      </c>
      <c r="CB13" s="2">
        <f t="shared" si="47"/>
        <v>5.4211035818005807E-2</v>
      </c>
      <c r="CC13" s="2">
        <f t="shared" si="48"/>
        <v>5.6192498230714788E-3</v>
      </c>
      <c r="CD13" s="2">
        <f t="shared" si="49"/>
        <v>1.2676272561791344E-3</v>
      </c>
      <c r="CE13" s="2">
        <f t="shared" si="50"/>
        <v>8.7360856700014096E-4</v>
      </c>
      <c r="CF13" s="2">
        <f t="shared" si="51"/>
        <v>1.838436184830057</v>
      </c>
      <c r="CG13" s="2">
        <f t="shared" si="52"/>
        <v>0.43844493871572765</v>
      </c>
      <c r="CH13" s="2">
        <f t="shared" si="52"/>
        <v>2.3865004216956053E-3</v>
      </c>
      <c r="CI13" s="2">
        <f t="shared" si="52"/>
        <v>0.16416970535966846</v>
      </c>
      <c r="CJ13" s="2">
        <f t="shared" si="52"/>
        <v>6.3104086146498109E-2</v>
      </c>
      <c r="CK13" s="2">
        <f t="shared" si="52"/>
        <v>1.1296951678436903E-3</v>
      </c>
      <c r="CL13" s="2">
        <f t="shared" si="52"/>
        <v>0.18803966522402779</v>
      </c>
      <c r="CM13" s="2">
        <f t="shared" si="52"/>
        <v>0.10901658514154305</v>
      </c>
      <c r="CN13" s="2">
        <f t="shared" si="52"/>
        <v>2.9487580948052879E-2</v>
      </c>
      <c r="CO13" s="2">
        <f t="shared" si="52"/>
        <v>3.0565378713925369E-3</v>
      </c>
      <c r="CP13" s="2">
        <f t="shared" si="53"/>
        <v>6.8951387414968254E-4</v>
      </c>
      <c r="CQ13" s="2">
        <f t="shared" si="54"/>
        <v>4.7519112940049989E-4</v>
      </c>
      <c r="CS13" s="2">
        <f t="shared" ca="1" si="55"/>
        <v>0.68470359312742757</v>
      </c>
      <c r="CT13" s="2">
        <f t="shared" ca="1" si="56"/>
        <v>0.11651025416270998</v>
      </c>
      <c r="CU13" s="2">
        <f t="shared" ca="1" si="57"/>
        <v>1.2528969320921453</v>
      </c>
      <c r="CV13" s="2">
        <f t="shared" ca="1" si="58"/>
        <v>2.0541107793822828</v>
      </c>
      <c r="CW13" s="2">
        <f t="shared" ca="1" si="59"/>
        <v>0.33333333333333331</v>
      </c>
      <c r="CX13" s="2">
        <f t="shared" ca="1" si="60"/>
        <v>5.6720531011354325E-2</v>
      </c>
      <c r="CY13" s="2">
        <f t="shared" ca="1" si="61"/>
        <v>0.6099461356553123</v>
      </c>
      <c r="CZ13" s="2">
        <f t="shared" si="62"/>
        <v>0.36129003167991264</v>
      </c>
      <c r="DA13" s="2">
        <f t="shared" si="63"/>
        <v>0.43844493871572765</v>
      </c>
      <c r="DB13" s="2">
        <f t="shared" si="64"/>
        <v>-0.64437936027868714</v>
      </c>
      <c r="DD13" s="2">
        <f t="shared" ca="1" si="65"/>
        <v>1409.9894719703966</v>
      </c>
      <c r="DE13" s="2">
        <f t="shared" ca="1" si="66"/>
        <v>14403.999674475319</v>
      </c>
      <c r="DF13" s="2">
        <f t="shared" si="67"/>
        <v>8.5578170522095984</v>
      </c>
      <c r="DG13" s="2">
        <f t="shared" si="68"/>
        <v>1589.5298671370733</v>
      </c>
      <c r="DH13" s="2">
        <f t="shared" si="69"/>
        <v>1316.3798671370732</v>
      </c>
      <c r="DI13" s="2">
        <f t="shared" si="145"/>
        <v>13602.905801982104</v>
      </c>
      <c r="DJ13" s="2">
        <f t="shared" si="70"/>
        <v>8.5578170522095984</v>
      </c>
      <c r="DK13" s="2">
        <f t="shared" si="71"/>
        <v>1589.5298671370733</v>
      </c>
      <c r="DL13" s="2">
        <f t="shared" ca="1" si="72"/>
        <v>1.6206875653181476</v>
      </c>
      <c r="DM13" s="2">
        <f t="shared" si="73"/>
        <v>-0.64437936027868714</v>
      </c>
      <c r="DN13" s="2">
        <f t="shared" si="74"/>
        <v>0.36129003167991264</v>
      </c>
      <c r="DO13" s="2">
        <f t="shared" si="75"/>
        <v>0.43844493871572765</v>
      </c>
      <c r="DP13" s="2">
        <f t="shared" si="76"/>
        <v>3.2063239992743164</v>
      </c>
      <c r="DQ13" s="2">
        <f t="shared" ca="1" si="77"/>
        <v>14404.105863536755</v>
      </c>
      <c r="DR13" s="2">
        <f t="shared" si="78"/>
        <v>8.557593825037463</v>
      </c>
      <c r="DS13" s="2">
        <f t="shared" ca="1" si="79"/>
        <v>1410.0457858754412</v>
      </c>
      <c r="DT13" s="2">
        <f t="shared" si="80"/>
        <v>1316.4381141496506</v>
      </c>
      <c r="DU13" s="2">
        <f t="shared" ca="1" si="81"/>
        <v>1398.7019863080768</v>
      </c>
      <c r="DV13" s="9">
        <f t="shared" ca="1" si="82"/>
        <v>3.2437099636857529</v>
      </c>
      <c r="DW13" s="2">
        <f t="shared" ca="1" si="83"/>
        <v>3.2461069685875303</v>
      </c>
      <c r="DX13" s="2">
        <f t="shared" ca="1" si="84"/>
        <v>4519.2836779733771</v>
      </c>
      <c r="DY13" s="2">
        <f t="shared" ca="1" si="146"/>
        <v>1392.216498626304</v>
      </c>
      <c r="DZ13" s="2">
        <f t="shared" ca="1" si="85"/>
        <v>4.8987410643258444</v>
      </c>
      <c r="EB13" s="2">
        <f t="shared" si="86"/>
        <v>0.80605304039059045</v>
      </c>
      <c r="EC13" s="2">
        <f t="shared" si="87"/>
        <v>4.3874287303573905E-3</v>
      </c>
      <c r="ED13" s="2">
        <f t="shared" si="88"/>
        <v>0.15090776339305173</v>
      </c>
      <c r="EE13" s="2">
        <f t="shared" si="89"/>
        <v>0.11601283538235523</v>
      </c>
      <c r="EF13" s="2">
        <f t="shared" si="90"/>
        <v>2.0768724743915048E-3</v>
      </c>
      <c r="EG13" s="2">
        <f t="shared" si="91"/>
        <v>0.3456989247311828</v>
      </c>
      <c r="EH13" s="2">
        <f t="shared" si="92"/>
        <v>0.2004200348708195</v>
      </c>
      <c r="EI13" s="2">
        <f t="shared" si="93"/>
        <v>2.7105517909002903E-2</v>
      </c>
      <c r="EJ13" s="2">
        <f t="shared" si="94"/>
        <v>2.8096249115357394E-3</v>
      </c>
      <c r="EK13" s="2">
        <f t="shared" si="95"/>
        <v>6.3381362808956722E-4</v>
      </c>
      <c r="EL13" s="2">
        <f t="shared" si="96"/>
        <v>4.3680428350007048E-4</v>
      </c>
      <c r="EM13" s="2">
        <f t="shared" si="97"/>
        <v>1.6565426607048772</v>
      </c>
      <c r="EN13" s="2">
        <f t="shared" si="98"/>
        <v>0.48658755340934351</v>
      </c>
      <c r="EO13" s="2">
        <f t="shared" si="98"/>
        <v>2.6485455729166017E-3</v>
      </c>
      <c r="EP13" s="2">
        <f t="shared" si="98"/>
        <v>9.1098024199895225E-2</v>
      </c>
      <c r="EQ13" s="2">
        <f t="shared" si="98"/>
        <v>7.0033110606997878E-2</v>
      </c>
      <c r="ER13" s="2">
        <f t="shared" si="98"/>
        <v>1.2537392025314775E-3</v>
      </c>
      <c r="ES13" s="2">
        <f t="shared" si="98"/>
        <v>0.20868700392182118</v>
      </c>
      <c r="ET13" s="2">
        <f t="shared" si="98"/>
        <v>0.12098694445064188</v>
      </c>
      <c r="EU13" s="2">
        <f t="shared" si="98"/>
        <v>1.6362704415634671E-2</v>
      </c>
      <c r="EV13" s="2">
        <f t="shared" si="98"/>
        <v>1.6960776068032036E-3</v>
      </c>
      <c r="EW13" s="2">
        <f t="shared" si="98"/>
        <v>3.8261231848980728E-4</v>
      </c>
      <c r="EX13" s="2">
        <f t="shared" si="98"/>
        <v>2.6368429492434892E-4</v>
      </c>
      <c r="EY13" s="2">
        <f t="shared" si="99"/>
        <v>0.99999999999999978</v>
      </c>
      <c r="EZ13" s="2">
        <f t="shared" si="100"/>
        <v>0.16416970535966846</v>
      </c>
      <c r="FA13" s="2">
        <f t="shared" si="101"/>
        <v>0.60500114449709175</v>
      </c>
      <c r="FB13" s="2">
        <f t="shared" si="102"/>
        <v>1.5077017760387104</v>
      </c>
      <c r="FC13" s="2">
        <f t="shared" si="103"/>
        <v>0.59539897408905373</v>
      </c>
      <c r="FD13" s="2">
        <f t="shared" si="104"/>
        <v>0.98412867397793136</v>
      </c>
      <c r="FE13" s="2">
        <f t="shared" ca="1" si="105"/>
        <v>0.11829399890705478</v>
      </c>
      <c r="FF13" s="2">
        <f t="shared" ca="1" si="106"/>
        <v>6.6994801213065159E-3</v>
      </c>
      <c r="FG13" s="2">
        <f t="shared" ca="1" si="107"/>
        <v>5.663415036438485E-2</v>
      </c>
      <c r="FH13" s="2">
        <f t="shared" ca="1" si="108"/>
        <v>0.27138321649201147</v>
      </c>
      <c r="FI13" s="2">
        <f t="shared" ca="1" si="147"/>
        <v>9.2992688527184578E-2</v>
      </c>
      <c r="FJ13" s="2">
        <f t="shared" ca="1" si="148"/>
        <v>0.34266189976387851</v>
      </c>
      <c r="FK13" s="2">
        <f t="shared" ca="1" si="149"/>
        <v>9.2992688527184564E-2</v>
      </c>
      <c r="FL13" s="2">
        <f t="shared" ca="1" si="109"/>
        <v>9.2992688527184592E-2</v>
      </c>
      <c r="FP13" s="2">
        <f t="shared" ca="1" si="150"/>
        <v>1.829838406965937</v>
      </c>
      <c r="FQ13" s="2">
        <f t="shared" ca="1" si="110"/>
        <v>0.17016159303406297</v>
      </c>
      <c r="FR13" s="2">
        <f t="shared" si="151"/>
        <v>0.33333333333333331</v>
      </c>
      <c r="FS13" s="2">
        <f t="shared" ca="1" si="111"/>
        <v>5.6720531011354325E-2</v>
      </c>
      <c r="FT13" s="2">
        <f t="shared" ca="1" si="112"/>
        <v>0.6099461356553123</v>
      </c>
      <c r="FU13" s="2">
        <f t="shared" si="113"/>
        <v>20.026666666666664</v>
      </c>
      <c r="FV13" s="2">
        <f t="shared" ca="1" si="114"/>
        <v>4.0753701531658075</v>
      </c>
      <c r="FW13" s="2">
        <f t="shared" ca="1" si="115"/>
        <v>24.580829266909085</v>
      </c>
      <c r="FX13" s="2">
        <f t="shared" ca="1" si="116"/>
        <v>48.682866086741555</v>
      </c>
      <c r="FY13" s="2">
        <f t="shared" ca="1" si="117"/>
        <v>41.136991875095845</v>
      </c>
      <c r="FZ13" s="2">
        <f t="shared" ca="1" si="117"/>
        <v>8.371261761590711</v>
      </c>
      <c r="GA13" s="2">
        <f t="shared" ca="1" si="117"/>
        <v>50.491746363313453</v>
      </c>
      <c r="GB13" s="2">
        <f t="shared" ca="1" si="118"/>
        <v>91.491920348296858</v>
      </c>
      <c r="GC13" s="2">
        <f t="shared" ca="1" si="119"/>
        <v>1620687565.3181477</v>
      </c>
      <c r="GD13" s="2">
        <f t="shared" si="152"/>
        <v>38</v>
      </c>
      <c r="GE13">
        <f t="shared" ca="1" si="153"/>
        <v>1322.5462948910131</v>
      </c>
      <c r="GF13">
        <f t="shared" ca="1" si="120"/>
        <v>1321.9830671777224</v>
      </c>
      <c r="GG13">
        <f t="shared" ca="1" si="121"/>
        <v>1745.8683478718895</v>
      </c>
      <c r="GH13" s="2">
        <f t="shared" ca="1" si="122"/>
        <v>0.20563862163964941</v>
      </c>
      <c r="GI13" s="2">
        <f t="shared" ca="1" si="123"/>
        <v>1.7055523552739194</v>
      </c>
      <c r="GJ13" s="2">
        <f t="shared" ca="1" si="124"/>
        <v>-2.54696671263802</v>
      </c>
      <c r="GK13" s="2">
        <f t="shared" ca="1" si="125"/>
        <v>1.8487936697987819</v>
      </c>
      <c r="GL13" s="2">
        <f t="shared" ca="1" si="154"/>
        <v>-0.20563862163964941</v>
      </c>
      <c r="GM13">
        <f t="shared" ca="1" si="155"/>
        <v>0.45921235997366611</v>
      </c>
      <c r="GN13">
        <f t="shared" ca="1" si="156"/>
        <v>9.6836861742648897E-2</v>
      </c>
      <c r="GO13">
        <f t="shared" ca="1" si="157"/>
        <v>-0.21181669293827246</v>
      </c>
      <c r="GP13">
        <f t="shared" ca="1" si="158"/>
        <v>-5.5614270266846656E-2</v>
      </c>
      <c r="GQ13">
        <f t="shared" ca="1" si="159"/>
        <v>0.30750724704712407</v>
      </c>
      <c r="GR13">
        <f t="shared" ca="1" si="160"/>
        <v>0.21087599155258382</v>
      </c>
      <c r="GS13">
        <f t="shared" ca="1" si="161"/>
        <v>-5.9365560928776907E-2</v>
      </c>
      <c r="GT13">
        <f t="shared" ca="1" si="162"/>
        <v>9.0230396670577058E-4</v>
      </c>
      <c r="GU13">
        <f t="shared" ca="1" si="163"/>
        <v>0.19280188388174879</v>
      </c>
      <c r="GV13">
        <f t="shared" ca="1" si="164"/>
        <v>-0.50119456070152857</v>
      </c>
      <c r="GW13">
        <f t="shared" ca="1" si="165"/>
        <v>0.15081968315388633</v>
      </c>
      <c r="GY13" s="15">
        <f t="shared" si="166"/>
        <v>0.126113471871514</v>
      </c>
      <c r="GZ13" s="2">
        <f t="shared" si="167"/>
        <v>9.4129182091301639E-2</v>
      </c>
      <c r="HA13" s="2">
        <f t="shared" si="168"/>
        <v>7.0291778361608909E-2</v>
      </c>
      <c r="HB13" s="2">
        <f t="shared" si="169"/>
        <v>0.29053443232442455</v>
      </c>
      <c r="HC13" s="2">
        <f t="shared" si="170"/>
        <v>0.43407409876530473</v>
      </c>
      <c r="HD13" s="2">
        <f t="shared" si="171"/>
        <v>0.32398632182154752</v>
      </c>
      <c r="HE13" s="2">
        <f t="shared" si="172"/>
        <v>0.24193957941314773</v>
      </c>
      <c r="HF13" s="2">
        <f t="shared" si="127"/>
        <v>-1.2801721483777651</v>
      </c>
      <c r="HG13" s="2">
        <f t="shared" si="128"/>
        <v>-1.2824227068107696</v>
      </c>
      <c r="HH13" s="2">
        <f t="shared" si="173"/>
        <v>-1.2812974275942675</v>
      </c>
      <c r="HI13" s="2">
        <f t="shared" si="129"/>
        <v>2.6538103089324325</v>
      </c>
      <c r="HJ13" s="2">
        <f t="shared" si="130"/>
        <v>0.15447302299557519</v>
      </c>
      <c r="HK13" s="2">
        <f t="shared" si="131"/>
        <v>0.32997599863243077</v>
      </c>
      <c r="HL13" s="2">
        <f t="shared" si="132"/>
        <v>0.96214727598217531</v>
      </c>
    </row>
    <row r="14" spans="1:220" s="2" customFormat="1" ht="20.25">
      <c r="A14" s="99" t="s">
        <v>161</v>
      </c>
      <c r="B14" s="77">
        <v>58</v>
      </c>
      <c r="C14" s="94">
        <f t="shared" ca="1" si="133"/>
        <v>-3.9998061581817481</v>
      </c>
      <c r="D14" s="59">
        <f t="shared" ca="1" si="0"/>
        <v>-3.9788956056116604</v>
      </c>
      <c r="E14" s="60">
        <f t="shared" ca="1" si="1"/>
        <v>-3.9998061581817463</v>
      </c>
      <c r="F14" s="66">
        <v>47.112243920801525</v>
      </c>
      <c r="G14" s="66">
        <v>0.78509731026908292</v>
      </c>
      <c r="H14" s="66">
        <v>11.894764333660174</v>
      </c>
      <c r="I14" s="66">
        <v>10.20132222169986</v>
      </c>
      <c r="J14" s="66">
        <v>0.17246707772331782</v>
      </c>
      <c r="K14" s="66">
        <v>18.635918645568736</v>
      </c>
      <c r="L14" s="66">
        <v>9.824058163675307</v>
      </c>
      <c r="M14" s="66">
        <v>1.2102940622992415</v>
      </c>
      <c r="N14" s="66">
        <v>5.9062872146363223E-2</v>
      </c>
      <c r="O14" s="66"/>
      <c r="P14" s="66">
        <v>6.560302005140882E-2</v>
      </c>
      <c r="Q14" s="66">
        <v>0.17477777777777778</v>
      </c>
      <c r="R14" s="3">
        <f t="shared" si="134"/>
        <v>99.960831627895004</v>
      </c>
      <c r="S14" s="104">
        <f t="shared" ca="1" si="2"/>
        <v>2.4294720775045109</v>
      </c>
      <c r="T14" s="104">
        <f t="shared" ca="1" si="135"/>
        <v>0.34663149649122971</v>
      </c>
      <c r="U14" s="105">
        <f t="shared" ca="1" si="3"/>
        <v>1546.3767901449467</v>
      </c>
      <c r="V14" s="105">
        <f t="shared" ca="1" si="3"/>
        <v>1513.6929594756027</v>
      </c>
      <c r="W14" s="105">
        <f t="shared" ca="1" si="4"/>
        <v>1519.3479595605654</v>
      </c>
      <c r="X14" s="101">
        <f t="shared" ca="1" si="5"/>
        <v>1662.5171551528363</v>
      </c>
      <c r="Y14" s="101">
        <f t="shared" ca="1" si="6"/>
        <v>1587.841580542668</v>
      </c>
      <c r="Z14" s="103">
        <f t="shared" ca="1" si="7"/>
        <v>1646.1415522037687</v>
      </c>
      <c r="AA14" s="103">
        <f t="shared" ca="1" si="8"/>
        <v>1614.1179475642564</v>
      </c>
      <c r="AB14" s="103">
        <f t="shared" ca="1" si="136"/>
        <v>50.656615289674043</v>
      </c>
      <c r="AC14" s="4">
        <v>13.3</v>
      </c>
      <c r="AD14" s="273">
        <f t="shared" ca="1" si="9"/>
        <v>11.840134495904774</v>
      </c>
      <c r="AE14" s="3">
        <f t="shared" ca="1" si="10"/>
        <v>112.86915372946169</v>
      </c>
      <c r="AF14" s="3">
        <f t="shared" ca="1" si="11"/>
        <v>213.47430678313555</v>
      </c>
      <c r="AG14" s="2">
        <f t="shared" ca="1" si="12"/>
        <v>528.72476988119843</v>
      </c>
      <c r="AH14" s="2">
        <f t="shared" ca="1" si="13"/>
        <v>129.19026424035195</v>
      </c>
      <c r="AI14" s="85">
        <f t="shared" si="14"/>
        <v>0.37197946058551823</v>
      </c>
      <c r="AJ14" s="85">
        <f t="shared" ca="1" si="15"/>
        <v>2.4294720775045109</v>
      </c>
      <c r="AK14" s="85">
        <f t="shared" ca="1" si="16"/>
        <v>0.28674648463699198</v>
      </c>
      <c r="AL14" s="86">
        <f t="shared" ca="1" si="17"/>
        <v>0.2786185048263205</v>
      </c>
      <c r="AM14" s="85">
        <f t="shared" ca="1" si="18"/>
        <v>0.34663149649122976</v>
      </c>
      <c r="AN14" s="85">
        <f t="shared" ca="1" si="19"/>
        <v>0.34663149649122943</v>
      </c>
      <c r="AO14" s="96">
        <f t="shared" ca="1" si="20"/>
        <v>41.248860654395912</v>
      </c>
      <c r="AP14" s="96">
        <f t="shared" ca="1" si="21"/>
        <v>7.7747228964544774</v>
      </c>
      <c r="AQ14" s="96">
        <f t="shared" ca="1" si="22"/>
        <v>50.976416449149603</v>
      </c>
      <c r="AR14" s="2">
        <f t="shared" ca="1" si="137"/>
        <v>92.119638916792582</v>
      </c>
      <c r="AS14" s="53">
        <f t="shared" ca="1" si="138"/>
        <v>80.206030688562961</v>
      </c>
      <c r="AT14" s="53">
        <f t="shared" ca="1" si="139"/>
        <v>92.119638916792596</v>
      </c>
      <c r="AU14" s="63">
        <f t="shared" ca="1" si="23"/>
        <v>0.34663149649122943</v>
      </c>
      <c r="AV14" s="53">
        <f t="shared" si="24"/>
        <v>2.4307231148456938</v>
      </c>
      <c r="AW14" s="53">
        <f t="shared" ca="1" si="25"/>
        <v>2.4576412824336287</v>
      </c>
      <c r="AX14" s="54">
        <f t="shared" ca="1" si="26"/>
        <v>1551.3884769387187</v>
      </c>
      <c r="AY14" s="54">
        <f t="shared" ca="1" si="27"/>
        <v>1546.3767901449464</v>
      </c>
      <c r="AZ14" s="54">
        <f t="shared" ca="1" si="28"/>
        <v>1513.6929594756025</v>
      </c>
      <c r="BA14" s="34"/>
      <c r="BB14" s="63">
        <f t="shared" ca="1" si="140"/>
        <v>0.24434312822034193</v>
      </c>
      <c r="BC14" s="63">
        <f t="shared" ca="1" si="141"/>
        <v>3.4344653392566482E-2</v>
      </c>
      <c r="BD14" s="53">
        <f t="shared" si="29"/>
        <v>0.15788313762105177</v>
      </c>
      <c r="BE14" s="53">
        <f t="shared" ca="1" si="30"/>
        <v>0.26862846553172642</v>
      </c>
      <c r="BF14" s="53">
        <f t="shared" ca="1" si="31"/>
        <v>0.1870570989309332</v>
      </c>
      <c r="BG14"/>
      <c r="BH14" s="53">
        <f t="shared" ca="1" si="32"/>
        <v>0.16921874326650177</v>
      </c>
      <c r="BI14" s="53">
        <f t="shared" ca="1" si="33"/>
        <v>0.22005779090895647</v>
      </c>
      <c r="BJ14"/>
      <c r="BK14" s="53">
        <f t="shared" ca="1" si="142"/>
        <v>0.39220550677066429</v>
      </c>
      <c r="BL14" s="53">
        <f t="shared" si="34"/>
        <v>0.19531253917285188</v>
      </c>
      <c r="BM14" s="53">
        <f t="shared" si="143"/>
        <v>0.32101701153354506</v>
      </c>
      <c r="BN14" s="53">
        <f t="shared" si="35"/>
        <v>0.29458251176045513</v>
      </c>
      <c r="BO14" s="53">
        <f t="shared" si="36"/>
        <v>0.31011255121694631</v>
      </c>
      <c r="BP14" s="53">
        <f t="shared" si="37"/>
        <v>0.3194927400839368</v>
      </c>
      <c r="BQ14" s="54">
        <f t="shared" si="38"/>
        <v>1419.1488207495961</v>
      </c>
      <c r="BR14" s="262">
        <f t="shared" si="39"/>
        <v>4.0728400863617091</v>
      </c>
      <c r="BS14" s="54">
        <f t="shared" si="144"/>
        <v>1607.4327707059779</v>
      </c>
      <c r="BT14"/>
      <c r="BU14" s="2">
        <f t="shared" si="40"/>
        <v>0.78415852065248881</v>
      </c>
      <c r="BV14" s="2">
        <f t="shared" si="41"/>
        <v>9.8259988769597347E-3</v>
      </c>
      <c r="BW14" s="2">
        <f t="shared" si="42"/>
        <v>0.23332217210004266</v>
      </c>
      <c r="BX14" s="2">
        <f t="shared" si="43"/>
        <v>0.14198082424077746</v>
      </c>
      <c r="BY14" s="2">
        <f t="shared" si="44"/>
        <v>2.4311682791558755E-3</v>
      </c>
      <c r="BZ14" s="2">
        <f t="shared" si="45"/>
        <v>0.46242974306622175</v>
      </c>
      <c r="CA14" s="2">
        <f t="shared" si="46"/>
        <v>0.1751793538458507</v>
      </c>
      <c r="CB14" s="2">
        <f t="shared" si="47"/>
        <v>3.9054342120014247E-2</v>
      </c>
      <c r="CC14" s="2">
        <f t="shared" si="48"/>
        <v>1.2539887929164165E-3</v>
      </c>
      <c r="CD14" s="2">
        <f t="shared" si="49"/>
        <v>0</v>
      </c>
      <c r="CE14" s="2">
        <f t="shared" si="50"/>
        <v>9.2437677964504468E-4</v>
      </c>
      <c r="CF14" s="2">
        <f t="shared" si="51"/>
        <v>1.8505604887540725</v>
      </c>
      <c r="CG14" s="2">
        <f t="shared" si="52"/>
        <v>0.42374109110069647</v>
      </c>
      <c r="CH14" s="2">
        <f t="shared" si="52"/>
        <v>5.3097420682397083E-3</v>
      </c>
      <c r="CI14" s="2">
        <f t="shared" si="52"/>
        <v>0.12608189438710624</v>
      </c>
      <c r="CJ14" s="2">
        <f t="shared" si="52"/>
        <v>7.672314690797756E-2</v>
      </c>
      <c r="CK14" s="2">
        <f t="shared" si="52"/>
        <v>1.3137469939135623E-3</v>
      </c>
      <c r="CL14" s="2">
        <f t="shared" si="52"/>
        <v>0.24988631599800445</v>
      </c>
      <c r="CM14" s="2">
        <f t="shared" si="52"/>
        <v>9.4662862905818213E-2</v>
      </c>
      <c r="CN14" s="2">
        <f t="shared" si="52"/>
        <v>2.1104061368082259E-2</v>
      </c>
      <c r="CO14" s="2">
        <f t="shared" si="52"/>
        <v>6.7762648156434479E-4</v>
      </c>
      <c r="CP14" s="2">
        <f t="shared" si="53"/>
        <v>0</v>
      </c>
      <c r="CQ14" s="2">
        <f t="shared" si="54"/>
        <v>4.9951178859730227E-4</v>
      </c>
      <c r="CS14" s="2">
        <f t="shared" ca="1" si="55"/>
        <v>0.68656559011977214</v>
      </c>
      <c r="CT14" s="2">
        <f t="shared" ca="1" si="56"/>
        <v>0.10820769514898369</v>
      </c>
      <c r="CU14" s="2">
        <f t="shared" ca="1" si="57"/>
        <v>1.2649234850905611</v>
      </c>
      <c r="CV14" s="2">
        <f t="shared" ca="1" si="58"/>
        <v>2.059696770359317</v>
      </c>
      <c r="CW14" s="2">
        <f t="shared" ca="1" si="59"/>
        <v>0.33333333333333326</v>
      </c>
      <c r="CX14" s="2">
        <f t="shared" ca="1" si="60"/>
        <v>5.2535740554716076E-2</v>
      </c>
      <c r="CY14" s="2">
        <f t="shared" ca="1" si="61"/>
        <v>0.61413092611195064</v>
      </c>
      <c r="CZ14" s="2">
        <f t="shared" si="62"/>
        <v>0.42258607280571381</v>
      </c>
      <c r="DA14" s="2">
        <f t="shared" si="63"/>
        <v>0.42374109110069647</v>
      </c>
      <c r="DB14" s="2">
        <f t="shared" si="64"/>
        <v>-0.50895735129616548</v>
      </c>
      <c r="DD14" s="2">
        <f t="shared" ca="1" si="65"/>
        <v>1551.3884769387187</v>
      </c>
      <c r="DE14" s="2">
        <f t="shared" ca="1" si="66"/>
        <v>14803.800543459964</v>
      </c>
      <c r="DF14" s="2">
        <f t="shared" si="67"/>
        <v>8.1137234048899636</v>
      </c>
      <c r="DG14" s="2">
        <f t="shared" si="68"/>
        <v>1676.5306288089548</v>
      </c>
      <c r="DH14" s="2">
        <f t="shared" si="69"/>
        <v>1403.380628808955</v>
      </c>
      <c r="DI14" s="2">
        <f t="shared" si="145"/>
        <v>13602.905801982104</v>
      </c>
      <c r="DJ14" s="2">
        <f t="shared" si="70"/>
        <v>8.1137234048899636</v>
      </c>
      <c r="DK14" s="2">
        <f t="shared" si="71"/>
        <v>1676.5306288089548</v>
      </c>
      <c r="DL14" s="2">
        <f t="shared" ca="1" si="72"/>
        <v>2.4294720775045109</v>
      </c>
      <c r="DM14" s="2">
        <f t="shared" si="73"/>
        <v>-0.50895735129616548</v>
      </c>
      <c r="DN14" s="2">
        <f t="shared" si="74"/>
        <v>0.42258607280571381</v>
      </c>
      <c r="DO14" s="2">
        <f t="shared" si="75"/>
        <v>0.42374109110069647</v>
      </c>
      <c r="DP14" s="2">
        <f t="shared" si="76"/>
        <v>2.4307231148456938</v>
      </c>
      <c r="DQ14" s="2">
        <f t="shared" ca="1" si="77"/>
        <v>14803.888047910476</v>
      </c>
      <c r="DR14" s="2">
        <f t="shared" si="78"/>
        <v>8.1135001777178282</v>
      </c>
      <c r="DS14" s="2">
        <f t="shared" ca="1" si="79"/>
        <v>1551.4494606084454</v>
      </c>
      <c r="DT14" s="2">
        <f t="shared" si="80"/>
        <v>1403.4444576371811</v>
      </c>
      <c r="DU14" s="2">
        <f t="shared" ca="1" si="81"/>
        <v>1522.8312806716765</v>
      </c>
      <c r="DV14" s="9">
        <f t="shared" ca="1" si="82"/>
        <v>2.4576412824336287</v>
      </c>
      <c r="DW14" s="2">
        <f t="shared" ca="1" si="83"/>
        <v>3.00313339783182</v>
      </c>
      <c r="DX14" s="2">
        <f t="shared" ca="1" si="84"/>
        <v>4563.8396167497231</v>
      </c>
      <c r="DY14" s="2">
        <f t="shared" ca="1" si="146"/>
        <v>1519.6926050786456</v>
      </c>
      <c r="DZ14" s="2">
        <f t="shared" ca="1" si="85"/>
        <v>3.7754454809045312</v>
      </c>
      <c r="EB14" s="2">
        <f t="shared" si="86"/>
        <v>0.78415852065248881</v>
      </c>
      <c r="EC14" s="2">
        <f t="shared" si="87"/>
        <v>9.8259988769597347E-3</v>
      </c>
      <c r="ED14" s="2">
        <f t="shared" si="88"/>
        <v>0.11666108605002133</v>
      </c>
      <c r="EE14" s="2">
        <f t="shared" si="89"/>
        <v>0.14198082424077746</v>
      </c>
      <c r="EF14" s="2">
        <f t="shared" si="90"/>
        <v>2.4311682791558755E-3</v>
      </c>
      <c r="EG14" s="2">
        <f t="shared" si="91"/>
        <v>0.46242974306622175</v>
      </c>
      <c r="EH14" s="2">
        <f t="shared" si="92"/>
        <v>0.1751793538458507</v>
      </c>
      <c r="EI14" s="2">
        <f t="shared" si="93"/>
        <v>1.9527171060007124E-2</v>
      </c>
      <c r="EJ14" s="2">
        <f t="shared" si="94"/>
        <v>6.2699439645820824E-4</v>
      </c>
      <c r="EK14" s="2">
        <f t="shared" si="95"/>
        <v>0</v>
      </c>
      <c r="EL14" s="2">
        <f t="shared" si="96"/>
        <v>4.6218838982252234E-4</v>
      </c>
      <c r="EM14" s="2">
        <f t="shared" si="97"/>
        <v>1.7132830488577639</v>
      </c>
      <c r="EN14" s="2">
        <f t="shared" si="98"/>
        <v>0.45769350322778413</v>
      </c>
      <c r="EO14" s="2">
        <f t="shared" si="98"/>
        <v>5.7351871213053044E-3</v>
      </c>
      <c r="EP14" s="2">
        <f t="shared" si="98"/>
        <v>6.8092126474839407E-2</v>
      </c>
      <c r="EQ14" s="2">
        <f t="shared" si="98"/>
        <v>8.2870617517307066E-2</v>
      </c>
      <c r="ER14" s="2">
        <f t="shared" si="98"/>
        <v>1.4190114591845881E-3</v>
      </c>
      <c r="ES14" s="2">
        <f t="shared" si="98"/>
        <v>0.26990854977204204</v>
      </c>
      <c r="ET14" s="2">
        <f t="shared" si="98"/>
        <v>0.10224775991488493</v>
      </c>
      <c r="EU14" s="2">
        <f t="shared" si="98"/>
        <v>1.1397516057271318E-2</v>
      </c>
      <c r="EV14" s="2">
        <f t="shared" si="98"/>
        <v>3.6596077739531823E-4</v>
      </c>
      <c r="EW14" s="2">
        <f t="shared" si="98"/>
        <v>0</v>
      </c>
      <c r="EX14" s="2">
        <f t="shared" si="98"/>
        <v>2.6976767798564323E-4</v>
      </c>
      <c r="EY14" s="2">
        <f t="shared" si="99"/>
        <v>0.99999999999999967</v>
      </c>
      <c r="EZ14" s="2">
        <f t="shared" si="100"/>
        <v>0.12608189438710624</v>
      </c>
      <c r="FA14" s="2">
        <f t="shared" si="101"/>
        <v>0.55513272755604237</v>
      </c>
      <c r="FB14" s="2">
        <f t="shared" si="102"/>
        <v>1.4819502041205619</v>
      </c>
      <c r="FC14" s="2">
        <f t="shared" si="103"/>
        <v>0.74336949801695429</v>
      </c>
      <c r="FD14" s="2">
        <f t="shared" si="104"/>
        <v>1.3390842606048818</v>
      </c>
      <c r="FE14" s="2">
        <f t="shared" ca="1" si="105"/>
        <v>0.12205397431750875</v>
      </c>
      <c r="FF14" s="2">
        <f t="shared" ca="1" si="106"/>
        <v>8.1300728230463398E-3</v>
      </c>
      <c r="FG14" s="2">
        <f t="shared" ca="1" si="107"/>
        <v>6.6610471871214383E-2</v>
      </c>
      <c r="FH14" s="2">
        <f t="shared" ca="1" si="108"/>
        <v>0.24678903994509219</v>
      </c>
      <c r="FI14" s="2">
        <f t="shared" ca="1" si="147"/>
        <v>8.5544854233801079E-2</v>
      </c>
      <c r="FJ14" s="2">
        <f t="shared" ca="1" si="148"/>
        <v>0.34663149649122932</v>
      </c>
      <c r="FK14" s="2">
        <f t="shared" ca="1" si="149"/>
        <v>8.5544854233801065E-2</v>
      </c>
      <c r="FL14" s="2">
        <f t="shared" ca="1" si="109"/>
        <v>8.554485423380119E-2</v>
      </c>
      <c r="FP14" s="2">
        <f t="shared" ca="1" si="150"/>
        <v>1.8423927783358518</v>
      </c>
      <c r="FQ14" s="2">
        <f t="shared" ca="1" si="110"/>
        <v>0.1576072216641482</v>
      </c>
      <c r="FR14" s="2">
        <f t="shared" si="151"/>
        <v>0.33333333333333331</v>
      </c>
      <c r="FS14" s="2">
        <f t="shared" ca="1" si="111"/>
        <v>5.2535740554716069E-2</v>
      </c>
      <c r="FT14" s="2">
        <f t="shared" ca="1" si="112"/>
        <v>0.61413092611195064</v>
      </c>
      <c r="FU14" s="2">
        <f t="shared" si="113"/>
        <v>20.026666666666664</v>
      </c>
      <c r="FV14" s="2">
        <f t="shared" ca="1" si="114"/>
        <v>3.7746929588563494</v>
      </c>
      <c r="FW14" s="2">
        <f t="shared" ca="1" si="115"/>
        <v>24.749476322311608</v>
      </c>
      <c r="FX14" s="2">
        <f t="shared" ca="1" si="116"/>
        <v>48.550835947834621</v>
      </c>
      <c r="FY14" s="2">
        <f t="shared" ca="1" si="117"/>
        <v>41.248860654395912</v>
      </c>
      <c r="FZ14" s="2">
        <f t="shared" ca="1" si="117"/>
        <v>7.7747228964544774</v>
      </c>
      <c r="GA14" s="2">
        <f t="shared" ca="1" si="117"/>
        <v>50.976416449149603</v>
      </c>
      <c r="GB14" s="2">
        <f t="shared" ca="1" si="118"/>
        <v>92.119638916792582</v>
      </c>
      <c r="GC14" s="2">
        <f t="shared" ca="1" si="119"/>
        <v>2429472077.5045109</v>
      </c>
      <c r="GD14" s="2">
        <f t="shared" si="152"/>
        <v>38</v>
      </c>
      <c r="GE14">
        <f t="shared" ca="1" si="153"/>
        <v>1413.1943021180027</v>
      </c>
      <c r="GF14">
        <f t="shared" ca="1" si="120"/>
        <v>1412.7513234276403</v>
      </c>
      <c r="GG14">
        <f t="shared" ca="1" si="121"/>
        <v>1793.6440831227605</v>
      </c>
      <c r="GH14" s="2">
        <f t="shared" ca="1" si="122"/>
        <v>0.35082175577258234</v>
      </c>
      <c r="GI14" s="2">
        <f t="shared" ca="1" si="123"/>
        <v>1.4612994325936377</v>
      </c>
      <c r="GJ14" s="2">
        <f t="shared" ca="1" si="124"/>
        <v>-2.0843419716674201</v>
      </c>
      <c r="GK14" s="2">
        <f t="shared" ca="1" si="125"/>
        <v>1.6296130669962774</v>
      </c>
      <c r="GL14" s="2">
        <f t="shared" ca="1" si="154"/>
        <v>-0.35082175577258234</v>
      </c>
      <c r="GM14">
        <f t="shared" ca="1" si="155"/>
        <v>0.42634700917261392</v>
      </c>
      <c r="GN14">
        <f t="shared" ca="1" si="156"/>
        <v>7.7497851442450666E-2</v>
      </c>
      <c r="GO14">
        <f t="shared" ca="1" si="157"/>
        <v>-0.19115600359669871</v>
      </c>
      <c r="GP14">
        <f t="shared" ca="1" si="158"/>
        <v>-0.10763958723625765</v>
      </c>
      <c r="GQ14">
        <f t="shared" ca="1" si="159"/>
        <v>0.29890519457012837</v>
      </c>
      <c r="GR14">
        <f t="shared" ca="1" si="160"/>
        <v>0.18177177223043292</v>
      </c>
      <c r="GS14">
        <f t="shared" ca="1" si="161"/>
        <v>-6.0185649179903961E-3</v>
      </c>
      <c r="GT14">
        <f t="shared" ca="1" si="162"/>
        <v>1.6070985059331699E-3</v>
      </c>
      <c r="GU14">
        <f t="shared" ca="1" si="163"/>
        <v>0.32560231877427187</v>
      </c>
      <c r="GV14">
        <f t="shared" ca="1" si="164"/>
        <v>-0.35974382117622378</v>
      </c>
      <c r="GW14">
        <f t="shared" ca="1" si="165"/>
        <v>0.39220550677066202</v>
      </c>
      <c r="GY14" s="15">
        <f t="shared" si="166"/>
        <v>0.16402317763975235</v>
      </c>
      <c r="GZ14" s="2">
        <f t="shared" si="167"/>
        <v>7.3827313596144709E-2</v>
      </c>
      <c r="HA14" s="2">
        <f t="shared" si="168"/>
        <v>5.8984162571956253E-2</v>
      </c>
      <c r="HB14" s="2">
        <f t="shared" si="169"/>
        <v>0.29683465380785334</v>
      </c>
      <c r="HC14" s="2">
        <f t="shared" si="170"/>
        <v>0.55257422115521471</v>
      </c>
      <c r="HD14" s="2">
        <f t="shared" si="171"/>
        <v>0.2487152785197867</v>
      </c>
      <c r="HE14" s="2">
        <f t="shared" si="172"/>
        <v>0.19871050032499848</v>
      </c>
      <c r="HF14" s="2">
        <f t="shared" si="127"/>
        <v>-1.3405710599021601</v>
      </c>
      <c r="HG14" s="2">
        <f t="shared" si="128"/>
        <v>-1.3352272914966066</v>
      </c>
      <c r="HH14" s="2">
        <f t="shared" si="173"/>
        <v>-1.3378991756993832</v>
      </c>
      <c r="HI14" s="2">
        <f t="shared" si="129"/>
        <v>2.357519724117858</v>
      </c>
      <c r="HJ14" s="2">
        <f t="shared" si="130"/>
        <v>0.19080780267285316</v>
      </c>
      <c r="HK14" s="2">
        <f t="shared" si="131"/>
        <v>0.34192159160533264</v>
      </c>
      <c r="HL14" s="2">
        <f t="shared" si="132"/>
        <v>0.78617259858140398</v>
      </c>
    </row>
    <row r="15" spans="1:220" s="2" customFormat="1" ht="20.25">
      <c r="A15" s="99" t="s">
        <v>162</v>
      </c>
      <c r="B15" s="77">
        <v>190</v>
      </c>
      <c r="C15" s="94">
        <f t="shared" ca="1" si="133"/>
        <v>-4.9733906910974683</v>
      </c>
      <c r="D15" s="59">
        <f t="shared" ca="1" si="0"/>
        <v>-5.1583643393724987</v>
      </c>
      <c r="E15" s="60">
        <f t="shared" ca="1" si="1"/>
        <v>-4.9733906910974683</v>
      </c>
      <c r="F15" s="66">
        <v>48.861916568909017</v>
      </c>
      <c r="G15" s="66">
        <v>0.50551694293478822</v>
      </c>
      <c r="H15" s="66">
        <v>14.153577137575523</v>
      </c>
      <c r="I15" s="66">
        <v>8.9331910379128168</v>
      </c>
      <c r="J15" s="66">
        <v>0.15306062576654053</v>
      </c>
      <c r="K15" s="66">
        <v>15.478622870252501</v>
      </c>
      <c r="L15" s="66">
        <v>10.168609728120389</v>
      </c>
      <c r="M15" s="66">
        <v>1.4255116386831364</v>
      </c>
      <c r="N15" s="66">
        <v>0.21287693361430565</v>
      </c>
      <c r="O15" s="66"/>
      <c r="P15" s="66">
        <v>8.1970880971906537E-2</v>
      </c>
      <c r="Q15" s="66">
        <v>0.17477777777777778</v>
      </c>
      <c r="R15" s="3">
        <f t="shared" si="134"/>
        <v>99.974854364740935</v>
      </c>
      <c r="S15" s="104">
        <f t="shared" ca="1" si="2"/>
        <v>1.6732385130477034</v>
      </c>
      <c r="T15" s="104">
        <f t="shared" ca="1" si="135"/>
        <v>0.34456629241433212</v>
      </c>
      <c r="U15" s="105">
        <f t="shared" ca="1" si="3"/>
        <v>1441.7383261018899</v>
      </c>
      <c r="V15" s="105">
        <f t="shared" ca="1" si="3"/>
        <v>1419.4599968455798</v>
      </c>
      <c r="W15" s="105">
        <f t="shared" ca="1" si="4"/>
        <v>1427.1162022394662</v>
      </c>
      <c r="X15" s="101">
        <f t="shared" ca="1" si="5"/>
        <v>1516.2029543941635</v>
      </c>
      <c r="Y15" s="101">
        <f t="shared" ca="1" si="6"/>
        <v>1483.9606796178391</v>
      </c>
      <c r="Z15" s="103">
        <f t="shared" ca="1" si="7"/>
        <v>1511.7335029557987</v>
      </c>
      <c r="AA15" s="103">
        <f t="shared" ca="1" si="8"/>
        <v>1484.8144391902279</v>
      </c>
      <c r="AB15" s="103">
        <f t="shared" ca="1" si="136"/>
        <v>32.090200890517536</v>
      </c>
      <c r="AC15" s="4">
        <v>13.3</v>
      </c>
      <c r="AD15" s="273">
        <f t="shared" ca="1" si="9"/>
        <v>11.141284643082303</v>
      </c>
      <c r="AE15" s="3">
        <f t="shared" ca="1" si="10"/>
        <v>105.20986315941651</v>
      </c>
      <c r="AF15" s="3">
        <f t="shared" ca="1" si="11"/>
        <v>212.74156245567525</v>
      </c>
      <c r="AG15" s="2">
        <f t="shared" ca="1" si="12"/>
        <v>494.5430594049389</v>
      </c>
      <c r="AH15" s="2">
        <f t="shared" ca="1" si="13"/>
        <v>83.996468894280326</v>
      </c>
      <c r="AI15" s="85">
        <f t="shared" si="14"/>
        <v>0.31356437876180843</v>
      </c>
      <c r="AJ15" s="85">
        <f t="shared" ca="1" si="15"/>
        <v>1.6732385130477034</v>
      </c>
      <c r="AK15" s="85">
        <f t="shared" ca="1" si="16"/>
        <v>0.28240776206490187</v>
      </c>
      <c r="AL15" s="86">
        <f t="shared" ca="1" si="17"/>
        <v>0.28117213182218176</v>
      </c>
      <c r="AM15" s="85">
        <f t="shared" ca="1" si="18"/>
        <v>0.34456629241433212</v>
      </c>
      <c r="AN15" s="85">
        <f t="shared" ca="1" si="19"/>
        <v>0.3445662924143324</v>
      </c>
      <c r="AO15" s="96">
        <f t="shared" ca="1" si="20"/>
        <v>41.166452191847412</v>
      </c>
      <c r="AP15" s="96">
        <f t="shared" ca="1" si="21"/>
        <v>8.2141649913256138</v>
      </c>
      <c r="AQ15" s="96">
        <f t="shared" ca="1" si="22"/>
        <v>50.619382816826963</v>
      </c>
      <c r="AR15" s="2">
        <f t="shared" ca="1" si="137"/>
        <v>91.657559121622285</v>
      </c>
      <c r="AS15" s="53">
        <f t="shared" ca="1" si="138"/>
        <v>79.104481645742311</v>
      </c>
      <c r="AT15" s="53">
        <f t="shared" ca="1" si="139"/>
        <v>91.657559121622285</v>
      </c>
      <c r="AU15" s="63">
        <f t="shared" ca="1" si="23"/>
        <v>0.3445662924143324</v>
      </c>
      <c r="AV15" s="53">
        <f t="shared" si="24"/>
        <v>2.8987028299250359</v>
      </c>
      <c r="AW15" s="53">
        <f t="shared" ca="1" si="25"/>
        <v>2.9285885713440942</v>
      </c>
      <c r="AX15" s="54">
        <f t="shared" ca="1" si="26"/>
        <v>1444.2168863963111</v>
      </c>
      <c r="AY15" s="54">
        <f t="shared" ca="1" si="27"/>
        <v>1441.7383261018899</v>
      </c>
      <c r="AZ15" s="54">
        <f t="shared" ca="1" si="28"/>
        <v>1419.4599968455798</v>
      </c>
      <c r="BA15" s="34"/>
      <c r="BB15" s="63">
        <f t="shared" ca="1" si="140"/>
        <v>0.1698466236597263</v>
      </c>
      <c r="BC15" s="63">
        <f t="shared" ca="1" si="141"/>
        <v>9.3738081573531608E-3</v>
      </c>
      <c r="BD15" s="53">
        <f t="shared" si="29"/>
        <v>0.12865898709149318</v>
      </c>
      <c r="BE15" s="53">
        <f t="shared" ca="1" si="30"/>
        <v>0.16321834034612012</v>
      </c>
      <c r="BF15" s="53">
        <f t="shared" ca="1" si="31"/>
        <v>0.16221312257952408</v>
      </c>
      <c r="BG15"/>
      <c r="BH15" s="53">
        <f t="shared" ca="1" si="32"/>
        <v>0.13579392011012983</v>
      </c>
      <c r="BI15" s="53">
        <f t="shared" ca="1" si="33"/>
        <v>0.17647490697333251</v>
      </c>
      <c r="BJ15"/>
      <c r="BK15" s="53">
        <f t="shared" ca="1" si="142"/>
        <v>0.22059693544575631</v>
      </c>
      <c r="BL15" s="53">
        <f t="shared" si="34"/>
        <v>0.13083510984620247</v>
      </c>
      <c r="BM15" s="53">
        <f t="shared" si="143"/>
        <v>0.20139907138938651</v>
      </c>
      <c r="BN15" s="53">
        <f t="shared" si="35"/>
        <v>0.27814335982804217</v>
      </c>
      <c r="BO15" s="53">
        <f t="shared" si="36"/>
        <v>0.36794245200688769</v>
      </c>
      <c r="BP15" s="53">
        <f t="shared" si="37"/>
        <v>0.47239838778375898</v>
      </c>
      <c r="BQ15" s="54">
        <f t="shared" si="38"/>
        <v>1359.3443554806404</v>
      </c>
      <c r="BR15" s="262">
        <f t="shared" si="39"/>
        <v>2.7934413131119231</v>
      </c>
      <c r="BS15" s="54">
        <f t="shared" si="144"/>
        <v>1496.8451440563394</v>
      </c>
      <c r="BT15"/>
      <c r="BU15" s="2">
        <f t="shared" si="40"/>
        <v>0.8132809016129996</v>
      </c>
      <c r="BV15" s="2">
        <f t="shared" si="41"/>
        <v>6.3268703746531688E-3</v>
      </c>
      <c r="BW15" s="2">
        <f t="shared" si="42"/>
        <v>0.27762999485240336</v>
      </c>
      <c r="BX15" s="2">
        <f t="shared" si="43"/>
        <v>0.12433112091736698</v>
      </c>
      <c r="BY15" s="2">
        <f t="shared" si="44"/>
        <v>2.1576067911832611E-3</v>
      </c>
      <c r="BZ15" s="2">
        <f t="shared" si="45"/>
        <v>0.38408493474571964</v>
      </c>
      <c r="CA15" s="2">
        <f t="shared" si="46"/>
        <v>0.18132328331170453</v>
      </c>
      <c r="CB15" s="2">
        <f t="shared" si="47"/>
        <v>4.5999084823592655E-2</v>
      </c>
      <c r="CC15" s="2">
        <f t="shared" si="48"/>
        <v>4.5196801191996951E-3</v>
      </c>
      <c r="CD15" s="2">
        <f t="shared" si="49"/>
        <v>0</v>
      </c>
      <c r="CE15" s="2">
        <f t="shared" si="50"/>
        <v>1.1550074816388128E-3</v>
      </c>
      <c r="CF15" s="2">
        <f t="shared" si="51"/>
        <v>1.8408084850304618</v>
      </c>
      <c r="CG15" s="2">
        <f t="shared" si="52"/>
        <v>0.44180636292511516</v>
      </c>
      <c r="CH15" s="2">
        <f t="shared" si="52"/>
        <v>3.4370063078824147E-3</v>
      </c>
      <c r="CI15" s="2">
        <f t="shared" si="52"/>
        <v>0.1508195975355954</v>
      </c>
      <c r="CJ15" s="2">
        <f t="shared" si="52"/>
        <v>6.7541583998788193E-2</v>
      </c>
      <c r="CK15" s="2">
        <f t="shared" si="52"/>
        <v>1.1720973739142433E-3</v>
      </c>
      <c r="CL15" s="2">
        <f t="shared" si="52"/>
        <v>0.20865013273739</v>
      </c>
      <c r="CM15" s="2">
        <f t="shared" si="52"/>
        <v>9.8501981485979509E-2</v>
      </c>
      <c r="CN15" s="2">
        <f t="shared" si="52"/>
        <v>2.4988522813567681E-2</v>
      </c>
      <c r="CO15" s="2">
        <f t="shared" si="52"/>
        <v>2.4552690602819027E-3</v>
      </c>
      <c r="CP15" s="2">
        <f t="shared" si="53"/>
        <v>0</v>
      </c>
      <c r="CQ15" s="2">
        <f t="shared" si="54"/>
        <v>6.2744576148544839E-4</v>
      </c>
      <c r="CS15" s="2">
        <f t="shared" ca="1" si="55"/>
        <v>0.68519394460465066</v>
      </c>
      <c r="CT15" s="2">
        <f t="shared" ca="1" si="56"/>
        <v>0.11432379946173438</v>
      </c>
      <c r="CU15" s="2">
        <f t="shared" ca="1" si="57"/>
        <v>1.2560640897475674</v>
      </c>
      <c r="CV15" s="2">
        <f t="shared" ca="1" si="58"/>
        <v>2.0555818338139522</v>
      </c>
      <c r="CW15" s="2">
        <f t="shared" ca="1" si="59"/>
        <v>0.33333333333333331</v>
      </c>
      <c r="CX15" s="2">
        <f t="shared" ca="1" si="60"/>
        <v>5.5616272522518148E-2</v>
      </c>
      <c r="CY15" s="2">
        <f t="shared" ca="1" si="61"/>
        <v>0.61105039414414863</v>
      </c>
      <c r="CZ15" s="2">
        <f t="shared" si="62"/>
        <v>0.37586579559607192</v>
      </c>
      <c r="DA15" s="2">
        <f t="shared" si="63"/>
        <v>0.44180636292511516</v>
      </c>
      <c r="DB15" s="2">
        <f t="shared" si="64"/>
        <v>-0.59629317940284654</v>
      </c>
      <c r="DD15" s="2">
        <f t="shared" ca="1" si="65"/>
        <v>1444.2168863963111</v>
      </c>
      <c r="DE15" s="2">
        <f t="shared" ca="1" si="66"/>
        <v>14429.976821974655</v>
      </c>
      <c r="DF15" s="2">
        <f t="shared" si="67"/>
        <v>8.4023844504503256</v>
      </c>
      <c r="DG15" s="2">
        <f t="shared" si="68"/>
        <v>1618.9339921542219</v>
      </c>
      <c r="DH15" s="2">
        <f t="shared" si="69"/>
        <v>1345.7839921542218</v>
      </c>
      <c r="DI15" s="2">
        <f t="shared" si="145"/>
        <v>13602.905801982104</v>
      </c>
      <c r="DJ15" s="2">
        <f t="shared" si="70"/>
        <v>8.4023844504503256</v>
      </c>
      <c r="DK15" s="2">
        <f t="shared" si="71"/>
        <v>1618.9339921542219</v>
      </c>
      <c r="DL15" s="2">
        <f t="shared" ca="1" si="72"/>
        <v>1.6732385130477034</v>
      </c>
      <c r="DM15" s="2">
        <f t="shared" si="73"/>
        <v>-0.59629317940284654</v>
      </c>
      <c r="DN15" s="2">
        <f t="shared" si="74"/>
        <v>0.37586579559607192</v>
      </c>
      <c r="DO15" s="2">
        <f t="shared" si="75"/>
        <v>0.44180636292511516</v>
      </c>
      <c r="DP15" s="2">
        <f t="shared" si="76"/>
        <v>2.8987028299250359</v>
      </c>
      <c r="DQ15" s="2">
        <f t="shared" ca="1" si="77"/>
        <v>14430.081796999475</v>
      </c>
      <c r="DR15" s="2">
        <f t="shared" si="78"/>
        <v>8.4021612232781901</v>
      </c>
      <c r="DS15" s="2">
        <f t="shared" ca="1" si="79"/>
        <v>1444.2750069161884</v>
      </c>
      <c r="DT15" s="2">
        <f t="shared" si="80"/>
        <v>1345.8440978890935</v>
      </c>
      <c r="DU15" s="2">
        <f t="shared" ca="1" si="81"/>
        <v>1430.5995233505773</v>
      </c>
      <c r="DV15" s="9">
        <f t="shared" ca="1" si="82"/>
        <v>2.9285885713440942</v>
      </c>
      <c r="DW15" s="2">
        <f t="shared" ca="1" si="83"/>
        <v>3.159575958561927</v>
      </c>
      <c r="DX15" s="2">
        <f t="shared" ca="1" si="84"/>
        <v>4522.1787096837979</v>
      </c>
      <c r="DY15" s="2">
        <f t="shared" ca="1" si="146"/>
        <v>1431.2612733456981</v>
      </c>
      <c r="DZ15" s="2">
        <f t="shared" ca="1" si="85"/>
        <v>4.4059785658924762</v>
      </c>
      <c r="EB15" s="2">
        <f t="shared" si="86"/>
        <v>0.8132809016129996</v>
      </c>
      <c r="EC15" s="2">
        <f t="shared" si="87"/>
        <v>6.3268703746531688E-3</v>
      </c>
      <c r="ED15" s="2">
        <f t="shared" si="88"/>
        <v>0.13881499742620168</v>
      </c>
      <c r="EE15" s="2">
        <f t="shared" si="89"/>
        <v>0.12433112091736698</v>
      </c>
      <c r="EF15" s="2">
        <f t="shared" si="90"/>
        <v>2.1576067911832611E-3</v>
      </c>
      <c r="EG15" s="2">
        <f t="shared" si="91"/>
        <v>0.38408493474571964</v>
      </c>
      <c r="EH15" s="2">
        <f t="shared" si="92"/>
        <v>0.18132328331170453</v>
      </c>
      <c r="EI15" s="2">
        <f t="shared" si="93"/>
        <v>2.2999542411796327E-2</v>
      </c>
      <c r="EJ15" s="2">
        <f t="shared" si="94"/>
        <v>2.2598400595998476E-3</v>
      </c>
      <c r="EK15" s="2">
        <f t="shared" si="95"/>
        <v>0</v>
      </c>
      <c r="EL15" s="2">
        <f t="shared" si="96"/>
        <v>5.7750374081940641E-4</v>
      </c>
      <c r="EM15" s="2">
        <f t="shared" si="97"/>
        <v>1.6761566013920444</v>
      </c>
      <c r="EN15" s="2">
        <f t="shared" si="98"/>
        <v>0.48520579815607418</v>
      </c>
      <c r="EO15" s="2">
        <f t="shared" si="98"/>
        <v>3.7746296315026395E-3</v>
      </c>
      <c r="EP15" s="2">
        <f t="shared" si="98"/>
        <v>8.2817439200439935E-2</v>
      </c>
      <c r="EQ15" s="2">
        <f t="shared" si="98"/>
        <v>7.4176315514976499E-2</v>
      </c>
      <c r="ER15" s="2">
        <f t="shared" si="98"/>
        <v>1.2872346112477637E-3</v>
      </c>
      <c r="ES15" s="2">
        <f t="shared" si="98"/>
        <v>0.22914621129477875</v>
      </c>
      <c r="ET15" s="2">
        <f t="shared" si="98"/>
        <v>0.10817800864257907</v>
      </c>
      <c r="EU15" s="2">
        <f t="shared" si="98"/>
        <v>1.3721595221290933E-2</v>
      </c>
      <c r="EV15" s="2">
        <f t="shared" si="98"/>
        <v>1.348227282416843E-3</v>
      </c>
      <c r="EW15" s="2">
        <f t="shared" si="98"/>
        <v>0</v>
      </c>
      <c r="EX15" s="2">
        <f t="shared" si="98"/>
        <v>3.4454044469340802E-4</v>
      </c>
      <c r="EY15" s="2">
        <f t="shared" si="99"/>
        <v>1</v>
      </c>
      <c r="EZ15" s="2">
        <f t="shared" si="100"/>
        <v>0.1508195975355954</v>
      </c>
      <c r="FA15" s="2">
        <f t="shared" si="101"/>
        <v>0.59606296676859294</v>
      </c>
      <c r="FB15" s="2">
        <f t="shared" si="102"/>
        <v>1.5078724407060988</v>
      </c>
      <c r="FC15" s="2">
        <f t="shared" si="103"/>
        <v>0.6314930143378259</v>
      </c>
      <c r="FD15" s="2">
        <f t="shared" si="104"/>
        <v>1.0594401087544629</v>
      </c>
      <c r="FE15" s="2">
        <f t="shared" ca="1" si="105"/>
        <v>0.11273194142910686</v>
      </c>
      <c r="FF15" s="2">
        <f t="shared" ca="1" si="106"/>
        <v>6.8235711986534093E-3</v>
      </c>
      <c r="FG15" s="2">
        <f t="shared" ca="1" si="107"/>
        <v>6.0529173117669678E-2</v>
      </c>
      <c r="FH15" s="2">
        <f t="shared" ca="1" si="108"/>
        <v>0.26415087893294303</v>
      </c>
      <c r="FI15" s="2">
        <f t="shared" ca="1" si="147"/>
        <v>9.1017488991911366E-2</v>
      </c>
      <c r="FJ15" s="2">
        <f t="shared" ca="1" si="148"/>
        <v>0.3445662924143324</v>
      </c>
      <c r="FK15" s="2">
        <f t="shared" ca="1" si="149"/>
        <v>9.1017488991911366E-2</v>
      </c>
      <c r="FL15" s="2">
        <f t="shared" ca="1" si="109"/>
        <v>9.1017488991911297E-2</v>
      </c>
      <c r="FP15" s="2">
        <f t="shared" ca="1" si="150"/>
        <v>1.8331511824324456</v>
      </c>
      <c r="FQ15" s="2">
        <f t="shared" ca="1" si="110"/>
        <v>0.16684881756755443</v>
      </c>
      <c r="FR15" s="2">
        <f t="shared" si="151"/>
        <v>0.33333333333333331</v>
      </c>
      <c r="FS15" s="2">
        <f t="shared" ca="1" si="111"/>
        <v>5.5616272522518141E-2</v>
      </c>
      <c r="FT15" s="2">
        <f t="shared" ca="1" si="112"/>
        <v>0.61105039414414852</v>
      </c>
      <c r="FU15" s="2">
        <f t="shared" si="113"/>
        <v>20.026666666666664</v>
      </c>
      <c r="FV15" s="2">
        <f t="shared" ca="1" si="114"/>
        <v>3.9960291807429282</v>
      </c>
      <c r="FW15" s="2">
        <f t="shared" ca="1" si="115"/>
        <v>24.625330884009184</v>
      </c>
      <c r="FX15" s="2">
        <f t="shared" ca="1" si="116"/>
        <v>48.648026731418781</v>
      </c>
      <c r="FY15" s="2">
        <f t="shared" ca="1" si="117"/>
        <v>41.166452191847412</v>
      </c>
      <c r="FZ15" s="2">
        <f t="shared" ca="1" si="117"/>
        <v>8.2141649913256138</v>
      </c>
      <c r="GA15" s="2">
        <f t="shared" ca="1" si="117"/>
        <v>50.619382816826963</v>
      </c>
      <c r="GB15" s="2">
        <f t="shared" ca="1" si="118"/>
        <v>91.657559121622285</v>
      </c>
      <c r="GC15" s="2">
        <f t="shared" ca="1" si="119"/>
        <v>1673238513.0477035</v>
      </c>
      <c r="GD15" s="2">
        <f t="shared" si="152"/>
        <v>38</v>
      </c>
      <c r="GE15">
        <f t="shared" ca="1" si="153"/>
        <v>1328.6404548266396</v>
      </c>
      <c r="GF15">
        <f t="shared" ca="1" si="120"/>
        <v>1328.0835911556685</v>
      </c>
      <c r="GG15">
        <f t="shared" ca="1" si="121"/>
        <v>1749.1017043795325</v>
      </c>
      <c r="GH15" s="2">
        <f t="shared" ca="1" si="122"/>
        <v>0.26995212646774858</v>
      </c>
      <c r="GI15" s="2">
        <f t="shared" ca="1" si="123"/>
        <v>1.6896819690595934</v>
      </c>
      <c r="GJ15" s="2">
        <f t="shared" ca="1" si="124"/>
        <v>-2.5169075705367137</v>
      </c>
      <c r="GK15" s="2">
        <f t="shared" ca="1" si="125"/>
        <v>1.8345523629640721</v>
      </c>
      <c r="GL15" s="2">
        <f t="shared" ca="1" si="154"/>
        <v>-0.26995212646774858</v>
      </c>
      <c r="GM15">
        <f t="shared" ca="1" si="155"/>
        <v>0.45731547766965258</v>
      </c>
      <c r="GN15">
        <f t="shared" ca="1" si="156"/>
        <v>9.5641791069251539E-2</v>
      </c>
      <c r="GO15">
        <f t="shared" ca="1" si="157"/>
        <v>-0.21060116145766838</v>
      </c>
      <c r="GP15">
        <f t="shared" ca="1" si="158"/>
        <v>-7.3574385751407234E-2</v>
      </c>
      <c r="GQ15">
        <f t="shared" ca="1" si="159"/>
        <v>0.30701076425524448</v>
      </c>
      <c r="GR15">
        <f t="shared" ca="1" si="160"/>
        <v>0.20913744611622251</v>
      </c>
      <c r="GS15">
        <f t="shared" ca="1" si="161"/>
        <v>-4.1384984637009611E-2</v>
      </c>
      <c r="GT15">
        <f t="shared" ca="1" si="162"/>
        <v>9.3754675838688024E-4</v>
      </c>
      <c r="GU15">
        <f t="shared" ca="1" si="163"/>
        <v>0.21612874840022162</v>
      </c>
      <c r="GV15">
        <f t="shared" ca="1" si="164"/>
        <v>-0.45284729062411788</v>
      </c>
      <c r="GW15">
        <f t="shared" ca="1" si="165"/>
        <v>0.22059693544575631</v>
      </c>
      <c r="GY15" s="15">
        <f t="shared" si="166"/>
        <v>0.14247042467329099</v>
      </c>
      <c r="GZ15" s="2">
        <f t="shared" si="167"/>
        <v>8.6592068831942579E-2</v>
      </c>
      <c r="HA15" s="2">
        <f t="shared" si="168"/>
        <v>8.8060399217611302E-2</v>
      </c>
      <c r="HB15" s="2">
        <f t="shared" si="169"/>
        <v>0.31712289272284488</v>
      </c>
      <c r="HC15" s="2">
        <f t="shared" si="170"/>
        <v>0.44925935005835582</v>
      </c>
      <c r="HD15" s="2">
        <f t="shared" si="171"/>
        <v>0.27305524394172714</v>
      </c>
      <c r="HE15" s="2">
        <f t="shared" si="172"/>
        <v>0.27768540599991698</v>
      </c>
      <c r="HF15" s="2">
        <f t="shared" si="127"/>
        <v>-1.2215587375050012</v>
      </c>
      <c r="HG15" s="2">
        <f t="shared" si="128"/>
        <v>-1.2254563166187631</v>
      </c>
      <c r="HH15" s="2">
        <f t="shared" si="173"/>
        <v>-1.2235075270618823</v>
      </c>
      <c r="HI15" s="2">
        <f t="shared" si="129"/>
        <v>2.9088945705268459</v>
      </c>
      <c r="HJ15" s="2">
        <f t="shared" si="130"/>
        <v>0.12786006233965111</v>
      </c>
      <c r="HK15" s="2">
        <f t="shared" si="131"/>
        <v>0.33462390794844848</v>
      </c>
      <c r="HL15" s="2">
        <f t="shared" si="132"/>
        <v>0.89777549432927184</v>
      </c>
    </row>
    <row r="16" spans="1:220" s="2" customFormat="1" ht="20.25">
      <c r="A16" s="99" t="s">
        <v>163</v>
      </c>
      <c r="B16" s="77">
        <v>190</v>
      </c>
      <c r="C16" s="94">
        <f t="shared" ca="1" si="133"/>
        <v>-4.2686395871637099</v>
      </c>
      <c r="D16" s="59">
        <f t="shared" ca="1" si="0"/>
        <v>-4.3099461299490649</v>
      </c>
      <c r="E16" s="60">
        <f t="shared" ca="1" si="1"/>
        <v>-4.2686395871637099</v>
      </c>
      <c r="F16" s="66">
        <v>48.188469958312325</v>
      </c>
      <c r="G16" s="66">
        <v>0.62378590509834519</v>
      </c>
      <c r="H16" s="66">
        <v>11.584854530847025</v>
      </c>
      <c r="I16" s="66">
        <v>9.6848094599845833</v>
      </c>
      <c r="J16" s="66">
        <v>0.16037895104185937</v>
      </c>
      <c r="K16" s="66">
        <v>17.51739185514764</v>
      </c>
      <c r="L16" s="66">
        <v>10.145031136336243</v>
      </c>
      <c r="M16" s="66">
        <v>1.5458184049141124</v>
      </c>
      <c r="N16" s="66">
        <v>0.43187161130124652</v>
      </c>
      <c r="O16" s="66"/>
      <c r="P16" s="66">
        <v>8.6678300766487207E-2</v>
      </c>
      <c r="Q16" s="66">
        <v>0.17477777777777778</v>
      </c>
      <c r="R16" s="3">
        <f t="shared" si="134"/>
        <v>99.969090113749871</v>
      </c>
      <c r="S16" s="104">
        <f t="shared" ca="1" si="2"/>
        <v>2.1926965502028142</v>
      </c>
      <c r="T16" s="104">
        <f t="shared" ca="1" si="135"/>
        <v>0.346592960715917</v>
      </c>
      <c r="U16" s="105">
        <f t="shared" ca="1" si="3"/>
        <v>1516.8732756552076</v>
      </c>
      <c r="V16" s="105">
        <f t="shared" ca="1" si="3"/>
        <v>1487.0117011307457</v>
      </c>
      <c r="W16" s="105">
        <f t="shared" ca="1" si="4"/>
        <v>1494.2211613043676</v>
      </c>
      <c r="X16" s="101">
        <f t="shared" ca="1" si="5"/>
        <v>1601.8616380278418</v>
      </c>
      <c r="Y16" s="101">
        <f t="shared" ca="1" si="6"/>
        <v>1571.9345475561252</v>
      </c>
      <c r="Z16" s="103">
        <f t="shared" ca="1" si="7"/>
        <v>1594.8791093562932</v>
      </c>
      <c r="AA16" s="103">
        <f t="shared" ca="1" si="8"/>
        <v>1567.0961610012189</v>
      </c>
      <c r="AB16" s="103">
        <f t="shared" ca="1" si="136"/>
        <v>31.890940936148262</v>
      </c>
      <c r="AC16" s="4">
        <v>13.3</v>
      </c>
      <c r="AD16" s="273">
        <f t="shared" ca="1" si="9"/>
        <v>11.642490000606507</v>
      </c>
      <c r="AE16" s="3">
        <f t="shared" ca="1" si="10"/>
        <v>110.83747073719151</v>
      </c>
      <c r="AF16" s="3">
        <f t="shared" ca="1" si="11"/>
        <v>213.27157149533889</v>
      </c>
      <c r="AG16" s="2">
        <f t="shared" ca="1" si="12"/>
        <v>519.7011020271583</v>
      </c>
      <c r="AH16" s="2">
        <f t="shared" ca="1" si="13"/>
        <v>105.61290753057384</v>
      </c>
      <c r="AI16" s="85">
        <f t="shared" si="14"/>
        <v>0.36275926032591344</v>
      </c>
      <c r="AJ16" s="85">
        <f t="shared" ca="1" si="15"/>
        <v>2.1926965502028142</v>
      </c>
      <c r="AK16" s="85">
        <f t="shared" ca="1" si="16"/>
        <v>0.28081347761017444</v>
      </c>
      <c r="AL16" s="86">
        <f t="shared" ca="1" si="17"/>
        <v>0.27427150169163694</v>
      </c>
      <c r="AM16" s="85">
        <f t="shared" ca="1" si="18"/>
        <v>0.346592960715917</v>
      </c>
      <c r="AN16" s="85">
        <f t="shared" ca="1" si="19"/>
        <v>0.34659296071591716</v>
      </c>
      <c r="AO16" s="96">
        <f t="shared" ca="1" si="20"/>
        <v>41.256350993966599</v>
      </c>
      <c r="AP16" s="96">
        <f t="shared" ca="1" si="21"/>
        <v>7.7347807544651115</v>
      </c>
      <c r="AQ16" s="96">
        <f t="shared" ca="1" si="22"/>
        <v>51.008868251568281</v>
      </c>
      <c r="AR16" s="2">
        <f t="shared" ca="1" si="137"/>
        <v>92.161547145070969</v>
      </c>
      <c r="AS16" s="53">
        <f t="shared" ca="1" si="138"/>
        <v>80.295986588350431</v>
      </c>
      <c r="AT16" s="53">
        <f t="shared" ca="1" si="139"/>
        <v>92.161547145070955</v>
      </c>
      <c r="AU16" s="63">
        <f t="shared" ca="1" si="23"/>
        <v>0.34659296071591716</v>
      </c>
      <c r="AV16" s="53">
        <f t="shared" si="24"/>
        <v>2.5834373248154989</v>
      </c>
      <c r="AW16" s="53">
        <f t="shared" ca="1" si="25"/>
        <v>2.6149987918942825</v>
      </c>
      <c r="AX16" s="54">
        <f t="shared" ca="1" si="26"/>
        <v>1521.2766604473322</v>
      </c>
      <c r="AY16" s="54">
        <f t="shared" ca="1" si="27"/>
        <v>1516.8732756552076</v>
      </c>
      <c r="AZ16" s="54">
        <f t="shared" ca="1" si="28"/>
        <v>1487.0117011307457</v>
      </c>
      <c r="BA16" s="34"/>
      <c r="BB16" s="63">
        <f t="shared" ca="1" si="140"/>
        <v>0.20321855604811623</v>
      </c>
      <c r="BC16" s="63">
        <f t="shared" ca="1" si="141"/>
        <v>1.4644500588704274E-2</v>
      </c>
      <c r="BD16" s="53">
        <f t="shared" si="29"/>
        <v>0.16938324149296516</v>
      </c>
      <c r="BE16" s="53">
        <f t="shared" ca="1" si="30"/>
        <v>0.19286333037475306</v>
      </c>
      <c r="BF16" s="53">
        <f t="shared" ca="1" si="31"/>
        <v>0.18289376743861668</v>
      </c>
      <c r="BG16"/>
      <c r="BH16" s="53">
        <f t="shared" ca="1" si="32"/>
        <v>0.16919132514174243</v>
      </c>
      <c r="BI16" s="53">
        <f t="shared" ca="1" si="33"/>
        <v>0.21357378172147942</v>
      </c>
      <c r="BJ16"/>
      <c r="BK16" s="53">
        <f t="shared" ca="1" si="142"/>
        <v>0.33915932825130735</v>
      </c>
      <c r="BL16" s="53">
        <f t="shared" si="34"/>
        <v>0.1823309794629431</v>
      </c>
      <c r="BM16" s="53">
        <f t="shared" si="143"/>
        <v>0.2980416807781171</v>
      </c>
      <c r="BN16" s="53">
        <f t="shared" si="35"/>
        <v>0.29864920934860262</v>
      </c>
      <c r="BO16" s="53">
        <f t="shared" si="36"/>
        <v>0.36248219583129476</v>
      </c>
      <c r="BP16" s="53">
        <f t="shared" si="37"/>
        <v>0.38907209495556783</v>
      </c>
      <c r="BQ16" s="54">
        <f t="shared" si="38"/>
        <v>1398.3269184805154</v>
      </c>
      <c r="BR16" s="262">
        <f t="shared" si="39"/>
        <v>3.5563964186980619</v>
      </c>
      <c r="BS16" s="54">
        <f t="shared" si="144"/>
        <v>1566.9412792191886</v>
      </c>
      <c r="BT16"/>
      <c r="BU16" s="2">
        <f t="shared" si="40"/>
        <v>0.80207173698921985</v>
      </c>
      <c r="BV16" s="2">
        <f t="shared" si="41"/>
        <v>7.8070826670631433E-3</v>
      </c>
      <c r="BW16" s="2">
        <f t="shared" si="42"/>
        <v>0.22724312535988672</v>
      </c>
      <c r="BX16" s="2">
        <f t="shared" si="43"/>
        <v>0.13479205928997334</v>
      </c>
      <c r="BY16" s="2">
        <f t="shared" si="44"/>
        <v>2.2607689743707271E-3</v>
      </c>
      <c r="BZ16" s="2">
        <f t="shared" si="45"/>
        <v>0.43467473585974298</v>
      </c>
      <c r="CA16" s="2">
        <f t="shared" si="46"/>
        <v>0.1809028376664808</v>
      </c>
      <c r="CB16" s="2">
        <f t="shared" si="47"/>
        <v>4.9881200545792592E-2</v>
      </c>
      <c r="CC16" s="2">
        <f t="shared" si="48"/>
        <v>9.1692486475848517E-3</v>
      </c>
      <c r="CD16" s="2">
        <f t="shared" si="49"/>
        <v>0</v>
      </c>
      <c r="CE16" s="2">
        <f t="shared" si="50"/>
        <v>1.2213371955260984E-3</v>
      </c>
      <c r="CF16" s="2">
        <f t="shared" si="51"/>
        <v>1.8500241331956411</v>
      </c>
      <c r="CG16" s="2">
        <f t="shared" si="52"/>
        <v>0.43354663466133297</v>
      </c>
      <c r="CH16" s="2">
        <f t="shared" si="52"/>
        <v>4.2199896352582015E-3</v>
      </c>
      <c r="CI16" s="2">
        <f t="shared" si="52"/>
        <v>0.12283251946954772</v>
      </c>
      <c r="CJ16" s="2">
        <f t="shared" si="52"/>
        <v>7.2859622137544849E-2</v>
      </c>
      <c r="CK16" s="2">
        <f t="shared" si="52"/>
        <v>1.222021342211134E-3</v>
      </c>
      <c r="CL16" s="2">
        <f t="shared" si="52"/>
        <v>0.2349562516835427</v>
      </c>
      <c r="CM16" s="2">
        <f t="shared" si="52"/>
        <v>9.778404206760162E-2</v>
      </c>
      <c r="CN16" s="2">
        <f t="shared" si="52"/>
        <v>2.6962459381343448E-2</v>
      </c>
      <c r="CO16" s="2">
        <f t="shared" si="52"/>
        <v>4.9562859657113446E-3</v>
      </c>
      <c r="CP16" s="2">
        <f t="shared" si="53"/>
        <v>0</v>
      </c>
      <c r="CQ16" s="2">
        <f t="shared" si="54"/>
        <v>6.6017365590600183E-4</v>
      </c>
      <c r="CS16" s="2">
        <f t="shared" ca="1" si="55"/>
        <v>0.68669026288226698</v>
      </c>
      <c r="CT16" s="2">
        <f t="shared" ca="1" si="56"/>
        <v>0.10765178503082967</v>
      </c>
      <c r="CU16" s="2">
        <f t="shared" ca="1" si="57"/>
        <v>1.2657287407337043</v>
      </c>
      <c r="CV16" s="2">
        <f t="shared" ca="1" si="58"/>
        <v>2.0600707886468008</v>
      </c>
      <c r="CW16" s="2">
        <f t="shared" ca="1" si="59"/>
        <v>0.33333333333333337</v>
      </c>
      <c r="CX16" s="2">
        <f t="shared" ca="1" si="60"/>
        <v>5.2256352366193651E-2</v>
      </c>
      <c r="CY16" s="2">
        <f t="shared" ca="1" si="61"/>
        <v>0.6144103143004731</v>
      </c>
      <c r="CZ16" s="2">
        <f t="shared" si="62"/>
        <v>0.40682193723090027</v>
      </c>
      <c r="DA16" s="2">
        <f t="shared" si="63"/>
        <v>0.43354663466133297</v>
      </c>
      <c r="DB16" s="2">
        <f t="shared" si="64"/>
        <v>-0.48830310503461344</v>
      </c>
      <c r="DD16" s="2">
        <f t="shared" ca="1" si="65"/>
        <v>1521.2766604473322</v>
      </c>
      <c r="DE16" s="2">
        <f t="shared" ca="1" si="66"/>
        <v>14686.756930305683</v>
      </c>
      <c r="DF16" s="2">
        <f t="shared" si="67"/>
        <v>8.1846515402554392</v>
      </c>
      <c r="DG16" s="2">
        <f t="shared" si="68"/>
        <v>1662.0018256217129</v>
      </c>
      <c r="DH16" s="2">
        <f t="shared" si="69"/>
        <v>1388.851825621713</v>
      </c>
      <c r="DI16" s="2">
        <f t="shared" si="145"/>
        <v>13602.905801982104</v>
      </c>
      <c r="DJ16" s="2">
        <f t="shared" si="70"/>
        <v>8.1846515402554392</v>
      </c>
      <c r="DK16" s="2">
        <f t="shared" si="71"/>
        <v>1662.0018256217129</v>
      </c>
      <c r="DL16" s="2">
        <f t="shared" ca="1" si="72"/>
        <v>2.1926965502028142</v>
      </c>
      <c r="DM16" s="2">
        <f t="shared" si="73"/>
        <v>-0.48830310503461344</v>
      </c>
      <c r="DN16" s="2">
        <f t="shared" si="74"/>
        <v>0.40682193723090027</v>
      </c>
      <c r="DO16" s="2">
        <f t="shared" si="75"/>
        <v>0.43354663466133297</v>
      </c>
      <c r="DP16" s="2">
        <f t="shared" si="76"/>
        <v>2.5834373248154989</v>
      </c>
      <c r="DQ16" s="2">
        <f t="shared" ca="1" si="77"/>
        <v>14686.849904765246</v>
      </c>
      <c r="DR16" s="2">
        <f t="shared" si="78"/>
        <v>8.1844283130833038</v>
      </c>
      <c r="DS16" s="2">
        <f t="shared" ca="1" si="79"/>
        <v>1521.3369626736699</v>
      </c>
      <c r="DT16" s="2">
        <f t="shared" si="80"/>
        <v>1388.9147050270694</v>
      </c>
      <c r="DU16" s="2">
        <f t="shared" ca="1" si="81"/>
        <v>1497.7044824154787</v>
      </c>
      <c r="DV16" s="9">
        <f t="shared" ca="1" si="82"/>
        <v>2.6149987918942825</v>
      </c>
      <c r="DW16" s="2">
        <f t="shared" ca="1" si="83"/>
        <v>3.0289637345299831</v>
      </c>
      <c r="DX16" s="2">
        <f t="shared" ca="1" si="84"/>
        <v>4550.7956529506728</v>
      </c>
      <c r="DY16" s="2">
        <f t="shared" ca="1" si="146"/>
        <v>1502.4265893552663</v>
      </c>
      <c r="DZ16" s="2">
        <f t="shared" ca="1" si="85"/>
        <v>3.9714910012745661</v>
      </c>
      <c r="EB16" s="2">
        <f t="shared" si="86"/>
        <v>0.80207173698921985</v>
      </c>
      <c r="EC16" s="2">
        <f t="shared" si="87"/>
        <v>7.8070826670631433E-3</v>
      </c>
      <c r="ED16" s="2">
        <f t="shared" si="88"/>
        <v>0.11362156267994336</v>
      </c>
      <c r="EE16" s="2">
        <f t="shared" si="89"/>
        <v>0.13479205928997334</v>
      </c>
      <c r="EF16" s="2">
        <f t="shared" si="90"/>
        <v>2.2607689743707271E-3</v>
      </c>
      <c r="EG16" s="2">
        <f t="shared" si="91"/>
        <v>0.43467473585974298</v>
      </c>
      <c r="EH16" s="2">
        <f t="shared" si="92"/>
        <v>0.1809028376664808</v>
      </c>
      <c r="EI16" s="2">
        <f t="shared" si="93"/>
        <v>2.4940600272896296E-2</v>
      </c>
      <c r="EJ16" s="2">
        <f t="shared" si="94"/>
        <v>4.5846243237924258E-3</v>
      </c>
      <c r="EK16" s="2">
        <f t="shared" si="95"/>
        <v>0</v>
      </c>
      <c r="EL16" s="2">
        <f t="shared" si="96"/>
        <v>6.1066859776304921E-4</v>
      </c>
      <c r="EM16" s="2">
        <f t="shared" si="97"/>
        <v>1.7062666773212458</v>
      </c>
      <c r="EN16" s="2">
        <f t="shared" si="98"/>
        <v>0.47007407906976928</v>
      </c>
      <c r="EO16" s="2">
        <f t="shared" si="98"/>
        <v>4.5755348626510583E-3</v>
      </c>
      <c r="EP16" s="2">
        <f t="shared" si="98"/>
        <v>6.6590741172021004E-2</v>
      </c>
      <c r="EQ16" s="2">
        <f t="shared" si="98"/>
        <v>7.8998236958826504E-2</v>
      </c>
      <c r="ER16" s="2">
        <f t="shared" si="98"/>
        <v>1.3249798548020772E-3</v>
      </c>
      <c r="ES16" s="2">
        <f t="shared" si="98"/>
        <v>0.25475193393693935</v>
      </c>
      <c r="ET16" s="2">
        <f t="shared" si="98"/>
        <v>0.10602260483132056</v>
      </c>
      <c r="EU16" s="2">
        <f t="shared" si="98"/>
        <v>1.461705875429262E-2</v>
      </c>
      <c r="EV16" s="2">
        <f t="shared" si="98"/>
        <v>2.6869330478809204E-3</v>
      </c>
      <c r="EW16" s="2">
        <f t="shared" si="98"/>
        <v>0</v>
      </c>
      <c r="EX16" s="2">
        <f t="shared" si="98"/>
        <v>3.5789751149671909E-4</v>
      </c>
      <c r="EY16" s="2">
        <f t="shared" si="99"/>
        <v>1</v>
      </c>
      <c r="EZ16" s="2">
        <f t="shared" si="100"/>
        <v>0.12283251946954772</v>
      </c>
      <c r="FA16" s="2">
        <f t="shared" si="101"/>
        <v>0.56059914376613895</v>
      </c>
      <c r="FB16" s="2">
        <f t="shared" si="102"/>
        <v>1.4842137718416968</v>
      </c>
      <c r="FC16" s="2">
        <f t="shared" si="103"/>
        <v>0.72603096861883776</v>
      </c>
      <c r="FD16" s="2">
        <f t="shared" si="104"/>
        <v>1.2950982474595265</v>
      </c>
      <c r="FE16" s="2">
        <f t="shared" ca="1" si="105"/>
        <v>0.13184282467959635</v>
      </c>
      <c r="FF16" s="2">
        <f t="shared" ca="1" si="106"/>
        <v>8.2420424024292199E-3</v>
      </c>
      <c r="FG16" s="2">
        <f t="shared" ca="1" si="107"/>
        <v>6.2514152153968064E-2</v>
      </c>
      <c r="FH16" s="2">
        <f t="shared" ca="1" si="108"/>
        <v>0.24539225743205803</v>
      </c>
      <c r="FI16" s="2">
        <f t="shared" ca="1" si="147"/>
        <v>8.5051229040139523E-2</v>
      </c>
      <c r="FJ16" s="2">
        <f t="shared" ca="1" si="148"/>
        <v>0.34659296071591716</v>
      </c>
      <c r="FK16" s="2">
        <f t="shared" ca="1" si="149"/>
        <v>8.5051229040139509E-2</v>
      </c>
      <c r="FL16" s="2">
        <f t="shared" ca="1" si="109"/>
        <v>8.5051229040139481E-2</v>
      </c>
      <c r="FP16" s="2">
        <f t="shared" ca="1" si="150"/>
        <v>1.8432309429014191</v>
      </c>
      <c r="FQ16" s="2">
        <f t="shared" ca="1" si="110"/>
        <v>0.15676905709858091</v>
      </c>
      <c r="FR16" s="2">
        <f t="shared" si="151"/>
        <v>0.33333333333333331</v>
      </c>
      <c r="FS16" s="2">
        <f t="shared" ca="1" si="111"/>
        <v>5.2256352366193637E-2</v>
      </c>
      <c r="FT16" s="2">
        <f t="shared" ca="1" si="112"/>
        <v>0.61441031430047299</v>
      </c>
      <c r="FU16" s="2">
        <f t="shared" si="113"/>
        <v>20.026666666666664</v>
      </c>
      <c r="FV16" s="2">
        <f t="shared" ca="1" si="114"/>
        <v>3.7546189175110127</v>
      </c>
      <c r="FW16" s="2">
        <f t="shared" ca="1" si="115"/>
        <v>24.76073566630906</v>
      </c>
      <c r="FX16" s="2">
        <f t="shared" ca="1" si="116"/>
        <v>48.542021250486741</v>
      </c>
      <c r="FY16" s="2">
        <f t="shared" ca="1" si="117"/>
        <v>41.256350993966599</v>
      </c>
      <c r="FZ16" s="2">
        <f t="shared" ca="1" si="117"/>
        <v>7.7347807544651115</v>
      </c>
      <c r="GA16" s="2">
        <f t="shared" ca="1" si="117"/>
        <v>51.008868251568281</v>
      </c>
      <c r="GB16" s="2">
        <f t="shared" ca="1" si="118"/>
        <v>92.161547145070969</v>
      </c>
      <c r="GC16" s="2">
        <f t="shared" ca="1" si="119"/>
        <v>2192696550.2028141</v>
      </c>
      <c r="GD16" s="2">
        <f t="shared" si="152"/>
        <v>38</v>
      </c>
      <c r="GE16">
        <f t="shared" ca="1" si="153"/>
        <v>1387.3528781837153</v>
      </c>
      <c r="GF16">
        <f t="shared" ca="1" si="120"/>
        <v>1386.8697572268252</v>
      </c>
      <c r="GG16">
        <f t="shared" ca="1" si="121"/>
        <v>1780.097545715179</v>
      </c>
      <c r="GH16" s="2">
        <f t="shared" ca="1" si="122"/>
        <v>0.33060613271544709</v>
      </c>
      <c r="GI16" s="2">
        <f t="shared" ca="1" si="123"/>
        <v>1.5328056418387499</v>
      </c>
      <c r="GJ16" s="2">
        <f t="shared" ca="1" si="124"/>
        <v>-2.2197775732839906</v>
      </c>
      <c r="GK16" s="2">
        <f t="shared" ca="1" si="125"/>
        <v>1.6937792348950371</v>
      </c>
      <c r="GL16" s="2">
        <f t="shared" ca="1" si="154"/>
        <v>-0.33060613271544709</v>
      </c>
      <c r="GM16">
        <f t="shared" ca="1" si="155"/>
        <v>0.43684905477494718</v>
      </c>
      <c r="GN16">
        <f t="shared" ca="1" si="156"/>
        <v>8.3367005290939794E-2</v>
      </c>
      <c r="GO16">
        <f t="shared" ca="1" si="157"/>
        <v>-0.19766587108752082</v>
      </c>
      <c r="GP16">
        <f t="shared" ca="1" si="158"/>
        <v>-9.7594221816025103E-2</v>
      </c>
      <c r="GQ16">
        <f t="shared" ca="1" si="159"/>
        <v>0.3016539602210393</v>
      </c>
      <c r="GR16">
        <f t="shared" ca="1" si="160"/>
        <v>0.19083709665776477</v>
      </c>
      <c r="GS16">
        <f t="shared" ca="1" si="161"/>
        <v>-1.6704643980555919E-2</v>
      </c>
      <c r="GT16">
        <f t="shared" ca="1" si="162"/>
        <v>1.3608728902189458E-3</v>
      </c>
      <c r="GU16">
        <f t="shared" ca="1" si="163"/>
        <v>0.28761120256303696</v>
      </c>
      <c r="GV16">
        <f t="shared" ca="1" si="164"/>
        <v>-0.38530092908667679</v>
      </c>
      <c r="GW16">
        <f t="shared" ca="1" si="165"/>
        <v>0.33915932825130735</v>
      </c>
      <c r="GY16" s="15">
        <f t="shared" si="166"/>
        <v>0.15543721560610724</v>
      </c>
      <c r="GZ16" s="2">
        <f t="shared" si="167"/>
        <v>7.1166276034672057E-2</v>
      </c>
      <c r="HA16" s="2">
        <f t="shared" si="168"/>
        <v>6.6356049598616088E-2</v>
      </c>
      <c r="HB16" s="2">
        <f t="shared" si="169"/>
        <v>0.29295954123939538</v>
      </c>
      <c r="HC16" s="2">
        <f t="shared" si="170"/>
        <v>0.53057570662663578</v>
      </c>
      <c r="HD16" s="2">
        <f t="shared" si="171"/>
        <v>0.24292185785653483</v>
      </c>
      <c r="HE16" s="2">
        <f t="shared" si="172"/>
        <v>0.22650243551682944</v>
      </c>
      <c r="HF16" s="2">
        <f t="shared" si="127"/>
        <v>-1.3033560139566285</v>
      </c>
      <c r="HG16" s="2">
        <f t="shared" si="128"/>
        <v>-1.3035779498000823</v>
      </c>
      <c r="HH16" s="2">
        <f t="shared" si="173"/>
        <v>-1.3034669818783553</v>
      </c>
      <c r="HI16" s="2">
        <f t="shared" si="129"/>
        <v>2.5466749202207257</v>
      </c>
      <c r="HJ16" s="2">
        <f t="shared" si="130"/>
        <v>0.16699622712710516</v>
      </c>
      <c r="HK16" s="2">
        <f t="shared" si="131"/>
        <v>0.33961039049484554</v>
      </c>
      <c r="HL16" s="2">
        <f t="shared" si="132"/>
        <v>0.82810095884041957</v>
      </c>
    </row>
    <row r="17" spans="1:220" s="2" customFormat="1" ht="20.25">
      <c r="A17" s="99" t="s">
        <v>164</v>
      </c>
      <c r="B17" s="77">
        <v>177</v>
      </c>
      <c r="C17" s="94">
        <f t="shared" ca="1" si="133"/>
        <v>-5.4692907520890852</v>
      </c>
      <c r="D17" s="59">
        <f t="shared" ca="1" si="0"/>
        <v>-5.7818586687641638</v>
      </c>
      <c r="E17" s="60">
        <f t="shared" ca="1" si="1"/>
        <v>-5.4692907520890852</v>
      </c>
      <c r="F17" s="66">
        <v>50.709759775603402</v>
      </c>
      <c r="G17" s="66">
        <v>0.40780994017689032</v>
      </c>
      <c r="H17" s="66">
        <v>13.551380990205766</v>
      </c>
      <c r="I17" s="66">
        <v>8.2997166407070093</v>
      </c>
      <c r="J17" s="66">
        <v>0.16632439859507708</v>
      </c>
      <c r="K17" s="66">
        <v>14.584044035846246</v>
      </c>
      <c r="L17" s="66">
        <v>10.518231457685221</v>
      </c>
      <c r="M17" s="66">
        <v>1.2218961844452472</v>
      </c>
      <c r="N17" s="66">
        <v>0.45936718864808673</v>
      </c>
      <c r="O17" s="66"/>
      <c r="P17" s="66">
        <v>6.1193415256340103E-2</v>
      </c>
      <c r="Q17" s="66">
        <v>0.17477777777777778</v>
      </c>
      <c r="R17" s="3">
        <f t="shared" si="134"/>
        <v>99.979724027169283</v>
      </c>
      <c r="S17" s="104">
        <f t="shared" ca="1" si="2"/>
        <v>1.2364427331188224</v>
      </c>
      <c r="T17" s="104">
        <f t="shared" ca="1" si="135"/>
        <v>0.34563986861367613</v>
      </c>
      <c r="U17" s="105">
        <f t="shared" ca="1" si="3"/>
        <v>1395.7357595342648</v>
      </c>
      <c r="V17" s="105">
        <f t="shared" ca="1" si="3"/>
        <v>1379.1306187909186</v>
      </c>
      <c r="W17" s="105">
        <f t="shared" ca="1" si="4"/>
        <v>1386.1961222433306</v>
      </c>
      <c r="X17" s="101">
        <f t="shared" ca="1" si="5"/>
        <v>1497.3561401600894</v>
      </c>
      <c r="Y17" s="101">
        <f t="shared" ca="1" si="6"/>
        <v>1435.3184286069556</v>
      </c>
      <c r="Z17" s="103">
        <f t="shared" ca="1" si="7"/>
        <v>1466.3372843835225</v>
      </c>
      <c r="AA17" s="103">
        <f t="shared" ca="1" si="8"/>
        <v>1439.1923484919023</v>
      </c>
      <c r="AB17" s="103">
        <f t="shared" ca="1" si="136"/>
        <v>41.219133400007642</v>
      </c>
      <c r="AC17" s="4">
        <v>13.3</v>
      </c>
      <c r="AD17" s="273">
        <f t="shared" ca="1" si="9"/>
        <v>10.841485907977464</v>
      </c>
      <c r="AE17" s="3">
        <f t="shared" ca="1" si="10"/>
        <v>101.51943819601416</v>
      </c>
      <c r="AF17" s="3">
        <f t="shared" ca="1" si="11"/>
        <v>212.41297796297081</v>
      </c>
      <c r="AG17" s="2">
        <f t="shared" ca="1" si="12"/>
        <v>477.93425415706793</v>
      </c>
      <c r="AH17" s="2">
        <f t="shared" ca="1" si="13"/>
        <v>73.466606168112563</v>
      </c>
      <c r="AI17" s="85">
        <f t="shared" si="14"/>
        <v>0.29668978310489474</v>
      </c>
      <c r="AJ17" s="85">
        <f t="shared" ca="1" si="15"/>
        <v>1.2364427331188224</v>
      </c>
      <c r="AK17" s="85">
        <f t="shared" ca="1" si="16"/>
        <v>0.28278810903076906</v>
      </c>
      <c r="AL17" s="86">
        <f t="shared" ca="1" si="17"/>
        <v>0.28288868619238344</v>
      </c>
      <c r="AM17" s="85">
        <f t="shared" ca="1" si="18"/>
        <v>0.34563986861367613</v>
      </c>
      <c r="AN17" s="85">
        <f t="shared" ca="1" si="19"/>
        <v>0.34563986861367629</v>
      </c>
      <c r="AO17" s="96">
        <f t="shared" ca="1" si="20"/>
        <v>41.177217315808029</v>
      </c>
      <c r="AP17" s="96">
        <f t="shared" ca="1" si="21"/>
        <v>8.1567601025738696</v>
      </c>
      <c r="AQ17" s="96">
        <f t="shared" ca="1" si="22"/>
        <v>50.666022581618094</v>
      </c>
      <c r="AR17" s="2">
        <f t="shared" ca="1" si="137"/>
        <v>91.718026225081587</v>
      </c>
      <c r="AS17" s="53">
        <f t="shared" ca="1" si="138"/>
        <v>79.286459246461177</v>
      </c>
      <c r="AT17" s="53">
        <f t="shared" ca="1" si="139"/>
        <v>91.718026225081601</v>
      </c>
      <c r="AU17" s="63">
        <f t="shared" ca="1" si="23"/>
        <v>0.34563986861367629</v>
      </c>
      <c r="AV17" s="53">
        <f t="shared" si="24"/>
        <v>3.0660223225214778</v>
      </c>
      <c r="AW17" s="53">
        <f t="shared" ca="1" si="25"/>
        <v>3.0959122713522178</v>
      </c>
      <c r="AX17" s="54">
        <f t="shared" ca="1" si="26"/>
        <v>1397.7530178245697</v>
      </c>
      <c r="AY17" s="54">
        <f t="shared" ca="1" si="27"/>
        <v>1395.7357595342648</v>
      </c>
      <c r="AZ17" s="54">
        <f t="shared" ca="1" si="28"/>
        <v>1379.1306187909186</v>
      </c>
      <c r="BA17" s="34"/>
      <c r="BB17" s="63">
        <f t="shared" ca="1" si="140"/>
        <v>0.15371697158992198</v>
      </c>
      <c r="BC17" s="63">
        <f t="shared" ca="1" si="141"/>
        <v>6.5056038155888896E-2</v>
      </c>
      <c r="BD17" s="53">
        <f t="shared" si="29"/>
        <v>0.1802676827374409</v>
      </c>
      <c r="BE17" s="53">
        <f t="shared" ca="1" si="30"/>
        <v>0.10771540585276207</v>
      </c>
      <c r="BF17" s="53">
        <f t="shared" ca="1" si="31"/>
        <v>0.17929599399126595</v>
      </c>
      <c r="BG17"/>
      <c r="BH17" s="53">
        <f t="shared" ca="1" si="32"/>
        <v>0.16936752049202405</v>
      </c>
      <c r="BI17" s="53">
        <f t="shared" ca="1" si="33"/>
        <v>0.19971853732708186</v>
      </c>
      <c r="BJ17"/>
      <c r="BK17" s="53">
        <f t="shared" ca="1" si="142"/>
        <v>0.19845648391764453</v>
      </c>
      <c r="BL17" s="53">
        <f t="shared" si="34"/>
        <v>0.15514049198341673</v>
      </c>
      <c r="BM17" s="53">
        <f t="shared" si="143"/>
        <v>0.24778571186642945</v>
      </c>
      <c r="BN17" s="53">
        <f t="shared" si="35"/>
        <v>0.29622228567988296</v>
      </c>
      <c r="BO17" s="53">
        <f t="shared" si="36"/>
        <v>0.52094734667238107</v>
      </c>
      <c r="BP17" s="53">
        <f t="shared" si="37"/>
        <v>0.69879061088130057</v>
      </c>
      <c r="BQ17" s="54">
        <f t="shared" si="38"/>
        <v>1341.8195800043279</v>
      </c>
      <c r="BR17" s="262">
        <f t="shared" si="39"/>
        <v>2.5194585462123724</v>
      </c>
      <c r="BS17" s="54">
        <f t="shared" si="144"/>
        <v>1467.4876500664595</v>
      </c>
      <c r="BT17"/>
      <c r="BU17" s="2">
        <f t="shared" si="40"/>
        <v>0.84403727988687427</v>
      </c>
      <c r="BV17" s="2">
        <f t="shared" si="41"/>
        <v>5.1040042575330449E-3</v>
      </c>
      <c r="BW17" s="2">
        <f t="shared" si="42"/>
        <v>0.2658175949432281</v>
      </c>
      <c r="BX17" s="2">
        <f t="shared" si="43"/>
        <v>0.11551449743503145</v>
      </c>
      <c r="BY17" s="2">
        <f t="shared" si="44"/>
        <v>2.3445784972522849E-3</v>
      </c>
      <c r="BZ17" s="2">
        <f t="shared" si="45"/>
        <v>0.36188694878030386</v>
      </c>
      <c r="CA17" s="2">
        <f t="shared" si="46"/>
        <v>0.1875576222839733</v>
      </c>
      <c r="CB17" s="2">
        <f t="shared" si="47"/>
        <v>3.9428724893360675E-2</v>
      </c>
      <c r="CC17" s="2">
        <f t="shared" si="48"/>
        <v>9.7530188672629876E-3</v>
      </c>
      <c r="CD17" s="2">
        <f t="shared" si="49"/>
        <v>0</v>
      </c>
      <c r="CE17" s="2">
        <f t="shared" si="50"/>
        <v>8.6224341632154576E-4</v>
      </c>
      <c r="CF17" s="2">
        <f t="shared" si="51"/>
        <v>1.8323065132611411</v>
      </c>
      <c r="CG17" s="2">
        <f t="shared" si="52"/>
        <v>0.46064196889452508</v>
      </c>
      <c r="CH17" s="2">
        <f t="shared" si="52"/>
        <v>2.7855624703581566E-3</v>
      </c>
      <c r="CI17" s="2">
        <f t="shared" si="52"/>
        <v>0.14507266825686585</v>
      </c>
      <c r="CJ17" s="2">
        <f t="shared" si="52"/>
        <v>6.30432171686377E-2</v>
      </c>
      <c r="CK17" s="2">
        <f t="shared" si="52"/>
        <v>1.2795776690655329E-3</v>
      </c>
      <c r="CL17" s="2">
        <f t="shared" si="52"/>
        <v>0.19750349963894254</v>
      </c>
      <c r="CM17" s="2">
        <f t="shared" si="52"/>
        <v>0.10236148860823402</v>
      </c>
      <c r="CN17" s="2">
        <f t="shared" si="52"/>
        <v>2.1518629447638316E-2</v>
      </c>
      <c r="CO17" s="2">
        <f t="shared" si="52"/>
        <v>5.3228096918700321E-3</v>
      </c>
      <c r="CP17" s="2">
        <f t="shared" si="53"/>
        <v>0</v>
      </c>
      <c r="CQ17" s="2">
        <f t="shared" si="54"/>
        <v>4.7057815386298223E-4</v>
      </c>
      <c r="CS17" s="2">
        <f t="shared" ca="1" si="55"/>
        <v>0.6853731244308926</v>
      </c>
      <c r="CT17" s="2">
        <f t="shared" ca="1" si="56"/>
        <v>0.11352484485141086</v>
      </c>
      <c r="CU17" s="2">
        <f t="shared" ca="1" si="57"/>
        <v>1.2572214040103746</v>
      </c>
      <c r="CV17" s="2">
        <f t="shared" ca="1" si="58"/>
        <v>2.0561193732926784</v>
      </c>
      <c r="CW17" s="2">
        <f t="shared" ca="1" si="59"/>
        <v>0.33333333333333326</v>
      </c>
      <c r="CX17" s="2">
        <f t="shared" ca="1" si="60"/>
        <v>5.5213158499456037E-2</v>
      </c>
      <c r="CY17" s="2">
        <f t="shared" ca="1" si="61"/>
        <v>0.61145350816721056</v>
      </c>
      <c r="CZ17" s="2">
        <f t="shared" si="62"/>
        <v>0.36418778308487981</v>
      </c>
      <c r="DA17" s="2">
        <f t="shared" si="63"/>
        <v>0.46064196889452508</v>
      </c>
      <c r="DB17" s="2">
        <f t="shared" si="64"/>
        <v>-0.56811196578261836</v>
      </c>
      <c r="DD17" s="2">
        <f t="shared" ca="1" si="65"/>
        <v>1397.7530178245697</v>
      </c>
      <c r="DE17" s="2">
        <f t="shared" ca="1" si="66"/>
        <v>14214.058577061287</v>
      </c>
      <c r="DF17" s="2">
        <f t="shared" si="67"/>
        <v>8.506812439400143</v>
      </c>
      <c r="DG17" s="2">
        <f t="shared" si="68"/>
        <v>1599.0602706812838</v>
      </c>
      <c r="DH17" s="2">
        <f t="shared" si="69"/>
        <v>1325.9102706812837</v>
      </c>
      <c r="DI17" s="2">
        <f t="shared" si="145"/>
        <v>13602.905801982104</v>
      </c>
      <c r="DJ17" s="2">
        <f t="shared" si="70"/>
        <v>8.506812439400143</v>
      </c>
      <c r="DK17" s="2">
        <f t="shared" si="71"/>
        <v>1599.0602706812838</v>
      </c>
      <c r="DL17" s="2">
        <f t="shared" ca="1" si="72"/>
        <v>1.2364427331188224</v>
      </c>
      <c r="DM17" s="2">
        <f t="shared" si="73"/>
        <v>-0.56811196578261836</v>
      </c>
      <c r="DN17" s="2">
        <f t="shared" si="74"/>
        <v>0.36418778308487981</v>
      </c>
      <c r="DO17" s="2">
        <f t="shared" si="75"/>
        <v>0.46064196889452508</v>
      </c>
      <c r="DP17" s="2">
        <f t="shared" si="76"/>
        <v>3.0660223225214778</v>
      </c>
      <c r="DQ17" s="2">
        <f t="shared" ca="1" si="77"/>
        <v>14214.17364298063</v>
      </c>
      <c r="DR17" s="2">
        <f t="shared" si="78"/>
        <v>8.5065892122280076</v>
      </c>
      <c r="DS17" s="2">
        <f t="shared" ca="1" si="79"/>
        <v>1397.8103918040515</v>
      </c>
      <c r="DT17" s="2">
        <f t="shared" si="80"/>
        <v>1325.96911703059</v>
      </c>
      <c r="DU17" s="2">
        <f t="shared" ca="1" si="81"/>
        <v>1389.6794433544417</v>
      </c>
      <c r="DV17" s="9">
        <f t="shared" ca="1" si="82"/>
        <v>3.0959122713522178</v>
      </c>
      <c r="DW17" s="2">
        <f t="shared" ca="1" si="83"/>
        <v>3.2129449409990696</v>
      </c>
      <c r="DX17" s="2">
        <f t="shared" ca="1" si="84"/>
        <v>4498.1156301675155</v>
      </c>
      <c r="DY17" s="2">
        <f t="shared" ca="1" si="146"/>
        <v>1399.9977319153252</v>
      </c>
      <c r="DZ17" s="2">
        <f t="shared" ca="1" si="85"/>
        <v>4.5614917497611911</v>
      </c>
      <c r="EB17" s="2">
        <f t="shared" si="86"/>
        <v>0.84403727988687427</v>
      </c>
      <c r="EC17" s="2">
        <f t="shared" si="87"/>
        <v>5.1040042575330449E-3</v>
      </c>
      <c r="ED17" s="2">
        <f t="shared" si="88"/>
        <v>0.13290879747161405</v>
      </c>
      <c r="EE17" s="2">
        <f t="shared" si="89"/>
        <v>0.11551449743503145</v>
      </c>
      <c r="EF17" s="2">
        <f t="shared" si="90"/>
        <v>2.3445784972522849E-3</v>
      </c>
      <c r="EG17" s="2">
        <f t="shared" si="91"/>
        <v>0.36188694878030386</v>
      </c>
      <c r="EH17" s="2">
        <f t="shared" si="92"/>
        <v>0.1875576222839733</v>
      </c>
      <c r="EI17" s="2">
        <f t="shared" si="93"/>
        <v>1.9714362446680338E-2</v>
      </c>
      <c r="EJ17" s="2">
        <f t="shared" si="94"/>
        <v>4.8765094336314938E-3</v>
      </c>
      <c r="EK17" s="2">
        <f t="shared" si="95"/>
        <v>0</v>
      </c>
      <c r="EL17" s="2">
        <f t="shared" si="96"/>
        <v>4.3112170816077288E-4</v>
      </c>
      <c r="EM17" s="2">
        <f t="shared" si="97"/>
        <v>1.6743757222010547</v>
      </c>
      <c r="EN17" s="2">
        <f t="shared" si="98"/>
        <v>0.50409072987354531</v>
      </c>
      <c r="EO17" s="2">
        <f t="shared" si="98"/>
        <v>3.0483028330245757E-3</v>
      </c>
      <c r="EP17" s="2">
        <f t="shared" si="98"/>
        <v>7.9378120280493833E-2</v>
      </c>
      <c r="EQ17" s="2">
        <f t="shared" si="98"/>
        <v>6.8989591704770772E-2</v>
      </c>
      <c r="ER17" s="2">
        <f t="shared" si="98"/>
        <v>1.4002702417174405E-3</v>
      </c>
      <c r="ES17" s="2">
        <f t="shared" si="98"/>
        <v>0.21613246297227989</v>
      </c>
      <c r="ET17" s="2">
        <f t="shared" si="98"/>
        <v>0.11201644875584971</v>
      </c>
      <c r="EU17" s="2">
        <f t="shared" si="98"/>
        <v>1.1774156890404966E-2</v>
      </c>
      <c r="EV17" s="2">
        <f t="shared" si="98"/>
        <v>2.9124343891113436E-3</v>
      </c>
      <c r="EW17" s="2">
        <f t="shared" si="98"/>
        <v>0</v>
      </c>
      <c r="EX17" s="2">
        <f t="shared" si="98"/>
        <v>2.5748205880221485E-4</v>
      </c>
      <c r="EY17" s="2">
        <f t="shared" si="99"/>
        <v>1.0000000000000002</v>
      </c>
      <c r="EZ17" s="2">
        <f t="shared" si="100"/>
        <v>0.14507266825686585</v>
      </c>
      <c r="FA17" s="2">
        <f t="shared" si="101"/>
        <v>0.60850019962174906</v>
      </c>
      <c r="FB17" s="2">
        <f t="shared" si="102"/>
        <v>1.5232490131543566</v>
      </c>
      <c r="FC17" s="2">
        <f t="shared" si="103"/>
        <v>0.61249722782171689</v>
      </c>
      <c r="FD17" s="2">
        <f t="shared" si="104"/>
        <v>1.0065686555278905</v>
      </c>
      <c r="FE17" s="2">
        <f t="shared" ca="1" si="105"/>
        <v>0.11091143881699404</v>
      </c>
      <c r="FF17" s="2">
        <f t="shared" ca="1" si="106"/>
        <v>6.2625565615454558E-3</v>
      </c>
      <c r="FG17" s="2">
        <f t="shared" ca="1" si="107"/>
        <v>5.6464478581679863E-2</v>
      </c>
      <c r="FH17" s="2">
        <f t="shared" ca="1" si="108"/>
        <v>0.26124941068626845</v>
      </c>
      <c r="FI17" s="2">
        <f t="shared" ca="1" si="147"/>
        <v>9.029821198500218E-2</v>
      </c>
      <c r="FJ17" s="2">
        <f t="shared" ca="1" si="148"/>
        <v>0.34563986861367629</v>
      </c>
      <c r="FK17" s="2">
        <f t="shared" ca="1" si="149"/>
        <v>9.0298211985002166E-2</v>
      </c>
      <c r="FL17" s="2">
        <f t="shared" ca="1" si="109"/>
        <v>9.0298211985002139E-2</v>
      </c>
      <c r="FP17" s="2">
        <f t="shared" ca="1" si="150"/>
        <v>1.8343605245016319</v>
      </c>
      <c r="FQ17" s="2">
        <f t="shared" ca="1" si="110"/>
        <v>0.16563947549836811</v>
      </c>
      <c r="FR17" s="2">
        <f t="shared" si="151"/>
        <v>0.33333333333333331</v>
      </c>
      <c r="FS17" s="2">
        <f t="shared" ca="1" si="111"/>
        <v>5.5213158499456037E-2</v>
      </c>
      <c r="FT17" s="2">
        <f t="shared" ca="1" si="112"/>
        <v>0.61145350816721067</v>
      </c>
      <c r="FU17" s="2">
        <f t="shared" si="113"/>
        <v>20.026666666666664</v>
      </c>
      <c r="FV17" s="2">
        <f t="shared" ca="1" si="114"/>
        <v>3.9670654381859158</v>
      </c>
      <c r="FW17" s="2">
        <f t="shared" ca="1" si="115"/>
        <v>24.641576379138588</v>
      </c>
      <c r="FX17" s="2">
        <f t="shared" ca="1" si="116"/>
        <v>48.635308483991167</v>
      </c>
      <c r="FY17" s="2">
        <f t="shared" ca="1" si="117"/>
        <v>41.177217315808029</v>
      </c>
      <c r="FZ17" s="2">
        <f t="shared" ca="1" si="117"/>
        <v>8.1567601025738696</v>
      </c>
      <c r="GA17" s="2">
        <f t="shared" ca="1" si="117"/>
        <v>50.666022581618094</v>
      </c>
      <c r="GB17" s="2">
        <f t="shared" ca="1" si="118"/>
        <v>91.718026225081587</v>
      </c>
      <c r="GC17" s="2">
        <f t="shared" ca="1" si="119"/>
        <v>1236442733.1188223</v>
      </c>
      <c r="GD17" s="2">
        <f t="shared" si="152"/>
        <v>38</v>
      </c>
      <c r="GE17">
        <f t="shared" ca="1" si="153"/>
        <v>1277.1239322769795</v>
      </c>
      <c r="GF17">
        <f t="shared" ca="1" si="120"/>
        <v>1276.5202918443224</v>
      </c>
      <c r="GG17">
        <f t="shared" ca="1" si="121"/>
        <v>1721.6812178488874</v>
      </c>
      <c r="GH17" s="2">
        <f t="shared" ca="1" si="122"/>
        <v>0.26780308137089265</v>
      </c>
      <c r="GI17" s="2">
        <f t="shared" ca="1" si="123"/>
        <v>1.8215942945981154</v>
      </c>
      <c r="GJ17" s="2">
        <f t="shared" ca="1" si="124"/>
        <v>-2.766754756656034</v>
      </c>
      <c r="GK17" s="2">
        <f t="shared" ca="1" si="125"/>
        <v>1.952924019324799</v>
      </c>
      <c r="GL17" s="2">
        <f t="shared" ca="1" si="154"/>
        <v>-0.26780308137089265</v>
      </c>
      <c r="GM17">
        <f t="shared" ca="1" si="155"/>
        <v>0.47224140643775236</v>
      </c>
      <c r="GN17">
        <f t="shared" ca="1" si="156"/>
        <v>0.1053154750098817</v>
      </c>
      <c r="GO17">
        <f t="shared" ca="1" si="157"/>
        <v>-0.22024211979773151</v>
      </c>
      <c r="GP17">
        <f t="shared" ca="1" si="158"/>
        <v>-6.856464427722142E-2</v>
      </c>
      <c r="GQ17">
        <f t="shared" ca="1" si="159"/>
        <v>0.3109174203353306</v>
      </c>
      <c r="GR17">
        <f t="shared" ca="1" si="160"/>
        <v>0.2230119459543064</v>
      </c>
      <c r="GS17">
        <f t="shared" ca="1" si="161"/>
        <v>-4.6362000510628387E-2</v>
      </c>
      <c r="GT17">
        <f t="shared" ca="1" si="162"/>
        <v>6.7927833883981662E-4</v>
      </c>
      <c r="GU17">
        <f t="shared" ca="1" si="163"/>
        <v>0.18967303038114741</v>
      </c>
      <c r="GV17">
        <f t="shared" ca="1" si="164"/>
        <v>-0.46345795290125524</v>
      </c>
      <c r="GW17">
        <f t="shared" ca="1" si="165"/>
        <v>0.19845648391764453</v>
      </c>
      <c r="GY17" s="15">
        <f t="shared" si="166"/>
        <v>0.13436467719337453</v>
      </c>
      <c r="GZ17" s="2">
        <f t="shared" si="167"/>
        <v>8.2426423113518416E-2</v>
      </c>
      <c r="HA17" s="2">
        <f t="shared" si="168"/>
        <v>0.1177933634689249</v>
      </c>
      <c r="HB17" s="2">
        <f t="shared" si="169"/>
        <v>0.33458446377581785</v>
      </c>
      <c r="HC17" s="2">
        <f t="shared" si="170"/>
        <v>0.40158671947004421</v>
      </c>
      <c r="HD17" s="2">
        <f t="shared" si="171"/>
        <v>0.24635460410602544</v>
      </c>
      <c r="HE17" s="2">
        <f t="shared" si="172"/>
        <v>0.35205867642393035</v>
      </c>
      <c r="HF17" s="2">
        <f t="shared" si="127"/>
        <v>-1.0854101181903468</v>
      </c>
      <c r="HG17" s="2">
        <f t="shared" si="128"/>
        <v>-1.0841820222080281</v>
      </c>
      <c r="HH17" s="2">
        <f t="shared" si="173"/>
        <v>-1.0847960701991874</v>
      </c>
      <c r="HI17" s="2">
        <f t="shared" si="129"/>
        <v>3.4785712990111435</v>
      </c>
      <c r="HJ17" s="2">
        <f t="shared" si="130"/>
        <v>8.3849451879042927E-2</v>
      </c>
      <c r="HK17" s="2">
        <f t="shared" si="131"/>
        <v>0.33204311263263669</v>
      </c>
      <c r="HL17" s="2">
        <f t="shared" si="132"/>
        <v>0.96629804934121433</v>
      </c>
    </row>
    <row r="18" spans="1:220" s="2" customFormat="1" ht="20.25">
      <c r="A18" s="99" t="s">
        <v>165</v>
      </c>
      <c r="B18" s="77">
        <v>190</v>
      </c>
      <c r="C18" s="94">
        <f t="shared" ca="1" si="133"/>
        <v>-2.7151753612045195</v>
      </c>
      <c r="D18" s="59">
        <f t="shared" ca="1" si="0"/>
        <v>-2.395047860391748</v>
      </c>
      <c r="E18" s="60">
        <f t="shared" ca="1" si="1"/>
        <v>-2.7151753612045173</v>
      </c>
      <c r="F18" s="66">
        <v>46.609347953831637</v>
      </c>
      <c r="G18" s="66">
        <v>0.97367092958835555</v>
      </c>
      <c r="H18" s="66">
        <v>8.8590628345492579</v>
      </c>
      <c r="I18" s="66">
        <v>10.022228152231332</v>
      </c>
      <c r="J18" s="66">
        <v>0.15661797380583559</v>
      </c>
      <c r="K18" s="66">
        <v>21.469531189889192</v>
      </c>
      <c r="L18" s="66">
        <v>8.3156992628669872</v>
      </c>
      <c r="M18" s="66">
        <v>2.58527757911135</v>
      </c>
      <c r="N18" s="66">
        <v>0.72030558688667934</v>
      </c>
      <c r="O18" s="66"/>
      <c r="P18" s="66">
        <v>0.29814473919745776</v>
      </c>
      <c r="Q18" s="66">
        <v>0.17477777777777778</v>
      </c>
      <c r="R18" s="3">
        <f t="shared" si="134"/>
        <v>100.00988620195808</v>
      </c>
      <c r="S18" s="104">
        <f t="shared" ca="1" si="2"/>
        <v>3.6721698585692915</v>
      </c>
      <c r="T18" s="104">
        <f t="shared" ca="1" si="135"/>
        <v>0.3519342712886927</v>
      </c>
      <c r="U18" s="105">
        <f t="shared" ca="1" si="3"/>
        <v>1702.5181263651657</v>
      </c>
      <c r="V18" s="105">
        <f t="shared" ca="1" si="3"/>
        <v>1631.3736418338817</v>
      </c>
      <c r="W18" s="105">
        <f t="shared" ca="1" si="4"/>
        <v>1645.1642426454639</v>
      </c>
      <c r="X18" s="101">
        <f t="shared" ca="1" si="5"/>
        <v>1788.1671971216763</v>
      </c>
      <c r="Y18" s="101">
        <f t="shared" ca="1" si="6"/>
        <v>1707.9434814536276</v>
      </c>
      <c r="Z18" s="103">
        <f t="shared" ca="1" si="7"/>
        <v>1784.7558301912229</v>
      </c>
      <c r="AA18" s="103">
        <f t="shared" ca="1" si="8"/>
        <v>1753.3657761021736</v>
      </c>
      <c r="AB18" s="103">
        <f t="shared" ca="1" si="136"/>
        <v>55.165858815014559</v>
      </c>
      <c r="AC18" s="4">
        <v>13.3</v>
      </c>
      <c r="AD18" s="273">
        <f t="shared" ca="1" si="9"/>
        <v>12.709818253615106</v>
      </c>
      <c r="AE18" s="3">
        <f t="shared" ca="1" si="10"/>
        <v>120.53898494132082</v>
      </c>
      <c r="AF18" s="3">
        <f t="shared" ca="1" si="11"/>
        <v>214.32782536913129</v>
      </c>
      <c r="AG18" s="2">
        <f t="shared" ca="1" si="12"/>
        <v>562.40474018583279</v>
      </c>
      <c r="AH18" s="2">
        <f t="shared" ca="1" si="13"/>
        <v>168.66474576711082</v>
      </c>
      <c r="AI18" s="85">
        <f t="shared" si="14"/>
        <v>0.4482102382003143</v>
      </c>
      <c r="AJ18" s="85">
        <f t="shared" ca="1" si="15"/>
        <v>3.6721698585692915</v>
      </c>
      <c r="AK18" s="85">
        <f t="shared" ca="1" si="16"/>
        <v>0.28054843158863663</v>
      </c>
      <c r="AL18" s="86">
        <f t="shared" ca="1" si="17"/>
        <v>0.25669385881547901</v>
      </c>
      <c r="AM18" s="85">
        <f t="shared" ca="1" si="18"/>
        <v>0.35193427128869276</v>
      </c>
      <c r="AN18" s="85">
        <f t="shared" ca="1" si="19"/>
        <v>0.35193427128869276</v>
      </c>
      <c r="AO18" s="96">
        <f t="shared" ca="1" si="20"/>
        <v>41.533624687407496</v>
      </c>
      <c r="AP18" s="96">
        <f t="shared" ca="1" si="21"/>
        <v>6.2562222553713545</v>
      </c>
      <c r="AQ18" s="96">
        <f t="shared" ca="1" si="22"/>
        <v>52.210153057221135</v>
      </c>
      <c r="AR18" s="2">
        <f t="shared" ca="1" si="137"/>
        <v>93.702248927059884</v>
      </c>
      <c r="AS18" s="53">
        <f t="shared" ca="1" si="138"/>
        <v>83.964899437078103</v>
      </c>
      <c r="AT18" s="53">
        <f t="shared" ca="1" si="139"/>
        <v>93.702248927059884</v>
      </c>
      <c r="AU18" s="63">
        <f t="shared" ca="1" si="23"/>
        <v>0.35193427128869276</v>
      </c>
      <c r="AV18" s="53">
        <f t="shared" si="24"/>
        <v>2.1796444565329471</v>
      </c>
      <c r="AW18" s="53">
        <f t="shared" ca="1" si="25"/>
        <v>2.2131070982653851</v>
      </c>
      <c r="AX18" s="54">
        <f t="shared" ca="1" si="26"/>
        <v>1710.827054329809</v>
      </c>
      <c r="AY18" s="54">
        <f t="shared" ca="1" si="27"/>
        <v>1702.518126365165</v>
      </c>
      <c r="AZ18" s="54">
        <f t="shared" ca="1" si="28"/>
        <v>1631.3736418338813</v>
      </c>
      <c r="BA18" s="34"/>
      <c r="BB18" s="63">
        <f t="shared" ca="1" si="140"/>
        <v>0.29989922508722183</v>
      </c>
      <c r="BC18" s="63">
        <f t="shared" ca="1" si="141"/>
        <v>7.1546809717885993E-3</v>
      </c>
      <c r="BD18" s="53">
        <f t="shared" si="29"/>
        <v>0.24366750227389444</v>
      </c>
      <c r="BE18" s="53">
        <f t="shared" ca="1" si="30"/>
        <v>0.30495834851959824</v>
      </c>
      <c r="BF18" s="53">
        <f t="shared" ca="1" si="31"/>
        <v>0.1859850196332731</v>
      </c>
      <c r="BG18"/>
      <c r="BH18" s="53">
        <f t="shared" ca="1" si="32"/>
        <v>0.26447576850506288</v>
      </c>
      <c r="BI18" s="53">
        <f t="shared" ca="1" si="33"/>
        <v>0.29484010165484348</v>
      </c>
      <c r="BJ18"/>
      <c r="BK18" s="53">
        <f t="shared" ca="1" si="142"/>
        <v>0.68115685091153666</v>
      </c>
      <c r="BL18" s="53">
        <f t="shared" si="34"/>
        <v>0.40689928780181794</v>
      </c>
      <c r="BM18" s="53">
        <f t="shared" si="143"/>
        <v>0.57919559127812015</v>
      </c>
      <c r="BN18" s="53">
        <f t="shared" si="35"/>
        <v>0.32809526406849809</v>
      </c>
      <c r="BO18" s="53">
        <f t="shared" si="36"/>
        <v>0.20491018685284973</v>
      </c>
      <c r="BP18" s="53">
        <f t="shared" si="37"/>
        <v>0.16510799822071898</v>
      </c>
      <c r="BQ18" s="54">
        <f t="shared" si="38"/>
        <v>1470.1060379111163</v>
      </c>
      <c r="BR18" s="262">
        <f t="shared" si="39"/>
        <v>5.7879582464539023</v>
      </c>
      <c r="BS18" s="54">
        <f t="shared" si="144"/>
        <v>1716.9029249409432</v>
      </c>
      <c r="BT18"/>
      <c r="BU18" s="2">
        <f t="shared" si="40"/>
        <v>0.77578808178814307</v>
      </c>
      <c r="BV18" s="2">
        <f t="shared" si="41"/>
        <v>1.2186119268940619E-2</v>
      </c>
      <c r="BW18" s="2">
        <f t="shared" si="42"/>
        <v>0.17377526156432441</v>
      </c>
      <c r="BX18" s="2">
        <f t="shared" si="43"/>
        <v>0.13948821367058223</v>
      </c>
      <c r="BY18" s="2">
        <f t="shared" si="44"/>
        <v>2.2077526614862645E-3</v>
      </c>
      <c r="BZ18" s="2">
        <f t="shared" si="45"/>
        <v>0.5327427094265309</v>
      </c>
      <c r="CA18" s="2">
        <f t="shared" si="46"/>
        <v>0.14828279712672945</v>
      </c>
      <c r="CB18" s="2">
        <f t="shared" si="47"/>
        <v>8.3422961571840926E-2</v>
      </c>
      <c r="CC18" s="2">
        <f t="shared" si="48"/>
        <v>1.5293112248124826E-2</v>
      </c>
      <c r="CD18" s="2">
        <f t="shared" si="49"/>
        <v>0</v>
      </c>
      <c r="CE18" s="2">
        <f t="shared" si="50"/>
        <v>4.200996747885836E-3</v>
      </c>
      <c r="CF18" s="2">
        <f t="shared" si="51"/>
        <v>1.8873880060745887</v>
      </c>
      <c r="CG18" s="2">
        <f t="shared" si="52"/>
        <v>0.41103794200835048</v>
      </c>
      <c r="CH18" s="2">
        <f t="shared" si="52"/>
        <v>6.4566052288768383E-3</v>
      </c>
      <c r="CI18" s="2">
        <f t="shared" si="52"/>
        <v>9.2071826781258512E-2</v>
      </c>
      <c r="CJ18" s="2">
        <f t="shared" si="52"/>
        <v>7.3905425498963201E-2</v>
      </c>
      <c r="CK18" s="2">
        <f t="shared" si="52"/>
        <v>1.1697396901858956E-3</v>
      </c>
      <c r="CL18" s="2">
        <f t="shared" si="52"/>
        <v>0.28226454110754645</v>
      </c>
      <c r="CM18" s="2">
        <f t="shared" si="52"/>
        <v>7.8565083941128627E-2</v>
      </c>
      <c r="CN18" s="2">
        <f t="shared" si="52"/>
        <v>4.4200218133919882E-2</v>
      </c>
      <c r="CO18" s="2">
        <f t="shared" si="52"/>
        <v>8.1027919001835855E-3</v>
      </c>
      <c r="CP18" s="2">
        <f t="shared" si="53"/>
        <v>0</v>
      </c>
      <c r="CQ18" s="2">
        <f t="shared" si="54"/>
        <v>2.2258257095864021E-3</v>
      </c>
      <c r="CS18" s="2">
        <f t="shared" ca="1" si="55"/>
        <v>0.69130533767322733</v>
      </c>
      <c r="CT18" s="2">
        <f t="shared" ca="1" si="56"/>
        <v>8.7073378641215796E-2</v>
      </c>
      <c r="CU18" s="2">
        <f t="shared" ca="1" si="57"/>
        <v>1.2955372967052392</v>
      </c>
      <c r="CV18" s="2">
        <f t="shared" ca="1" si="58"/>
        <v>2.0739160130196823</v>
      </c>
      <c r="CW18" s="2">
        <f t="shared" ca="1" si="59"/>
        <v>0.33333333333333326</v>
      </c>
      <c r="CX18" s="2">
        <f t="shared" ca="1" si="60"/>
        <v>4.1985007152934031E-2</v>
      </c>
      <c r="CY18" s="2">
        <f t="shared" ca="1" si="61"/>
        <v>0.62468165951373267</v>
      </c>
      <c r="CZ18" s="2">
        <f t="shared" si="62"/>
        <v>0.43590479023782419</v>
      </c>
      <c r="DA18" s="2">
        <f t="shared" si="63"/>
        <v>0.41103794200835048</v>
      </c>
      <c r="DB18" s="2">
        <f t="shared" si="64"/>
        <v>-0.3834078024615637</v>
      </c>
      <c r="DD18" s="2">
        <f t="shared" ca="1" si="65"/>
        <v>1710.827054329809</v>
      </c>
      <c r="DE18" s="2">
        <f t="shared" ca="1" si="66"/>
        <v>15418.094765553707</v>
      </c>
      <c r="DF18" s="2">
        <f t="shared" si="67"/>
        <v>7.7713069976819726</v>
      </c>
      <c r="DG18" s="2">
        <f t="shared" si="68"/>
        <v>1750.4012910620545</v>
      </c>
      <c r="DH18" s="2">
        <f t="shared" si="69"/>
        <v>1477.2512910620544</v>
      </c>
      <c r="DI18" s="2">
        <f t="shared" si="145"/>
        <v>13602.905801982104</v>
      </c>
      <c r="DJ18" s="2">
        <f t="shared" si="70"/>
        <v>7.7713069976819726</v>
      </c>
      <c r="DK18" s="2">
        <f t="shared" si="71"/>
        <v>1750.4012910620545</v>
      </c>
      <c r="DL18" s="2">
        <f t="shared" ca="1" si="72"/>
        <v>3.6721698585692915</v>
      </c>
      <c r="DM18" s="2">
        <f t="shared" si="73"/>
        <v>-0.3834078024615637</v>
      </c>
      <c r="DN18" s="2">
        <f t="shared" si="74"/>
        <v>0.43590479023782425</v>
      </c>
      <c r="DO18" s="2">
        <f t="shared" si="75"/>
        <v>0.41103794200835048</v>
      </c>
      <c r="DP18" s="2">
        <f t="shared" si="76"/>
        <v>2.1796444565329471</v>
      </c>
      <c r="DQ18" s="2">
        <f t="shared" ca="1" si="77"/>
        <v>15418.153561090796</v>
      </c>
      <c r="DR18" s="2">
        <f t="shared" si="78"/>
        <v>7.7710837705098372</v>
      </c>
      <c r="DS18" s="2">
        <f t="shared" ca="1" si="79"/>
        <v>1710.8916107210821</v>
      </c>
      <c r="DT18" s="2">
        <f t="shared" si="80"/>
        <v>1477.3200543342027</v>
      </c>
      <c r="DU18" s="2">
        <f t="shared" ca="1" si="81"/>
        <v>1648.647563756575</v>
      </c>
      <c r="DV18" s="9">
        <f t="shared" ca="1" si="82"/>
        <v>2.2131070982653851</v>
      </c>
      <c r="DW18" s="2">
        <f t="shared" ca="1" si="83"/>
        <v>2.7941758193493618</v>
      </c>
      <c r="DX18" s="2">
        <f t="shared" ca="1" si="84"/>
        <v>4632.2998375085826</v>
      </c>
      <c r="DY18" s="2">
        <f t="shared" ca="1" si="146"/>
        <v>1657.8412157998123</v>
      </c>
      <c r="DZ18" s="2">
        <f t="shared" ca="1" si="85"/>
        <v>3.4519259828301476</v>
      </c>
      <c r="EB18" s="2">
        <f t="shared" si="86"/>
        <v>0.77578808178814307</v>
      </c>
      <c r="EC18" s="2">
        <f t="shared" si="87"/>
        <v>1.2186119268940619E-2</v>
      </c>
      <c r="ED18" s="2">
        <f t="shared" si="88"/>
        <v>8.6887630782162203E-2</v>
      </c>
      <c r="EE18" s="2">
        <f t="shared" si="89"/>
        <v>0.13948821367058223</v>
      </c>
      <c r="EF18" s="2">
        <f t="shared" si="90"/>
        <v>2.2077526614862645E-3</v>
      </c>
      <c r="EG18" s="2">
        <f t="shared" si="91"/>
        <v>0.5327427094265309</v>
      </c>
      <c r="EH18" s="2">
        <f t="shared" si="92"/>
        <v>0.14828279712672945</v>
      </c>
      <c r="EI18" s="2">
        <f t="shared" si="93"/>
        <v>4.1711480785920463E-2</v>
      </c>
      <c r="EJ18" s="2">
        <f t="shared" si="94"/>
        <v>7.6465561240624128E-3</v>
      </c>
      <c r="EK18" s="2">
        <f t="shared" si="95"/>
        <v>0</v>
      </c>
      <c r="EL18" s="2">
        <f t="shared" si="96"/>
        <v>2.100498373942918E-3</v>
      </c>
      <c r="EM18" s="2">
        <f t="shared" si="97"/>
        <v>1.7490418400085008</v>
      </c>
      <c r="EN18" s="2">
        <f t="shared" si="98"/>
        <v>0.44355032798093186</v>
      </c>
      <c r="EO18" s="2">
        <f t="shared" si="98"/>
        <v>6.9673114674497381E-3</v>
      </c>
      <c r="EP18" s="2">
        <f t="shared" si="98"/>
        <v>4.9677274033501626E-2</v>
      </c>
      <c r="EQ18" s="2">
        <f t="shared" si="98"/>
        <v>7.9751216054330804E-2</v>
      </c>
      <c r="ER18" s="2">
        <f t="shared" si="98"/>
        <v>1.262264064235041E-3</v>
      </c>
      <c r="ES18" s="2">
        <f t="shared" si="98"/>
        <v>0.30459117514532508</v>
      </c>
      <c r="ET18" s="2">
        <f t="shared" si="98"/>
        <v>8.4779445371077441E-2</v>
      </c>
      <c r="EU18" s="2">
        <f t="shared" si="98"/>
        <v>2.3848189238124647E-2</v>
      </c>
      <c r="EV18" s="2">
        <f t="shared" si="98"/>
        <v>4.3718543199774158E-3</v>
      </c>
      <c r="EW18" s="2">
        <f t="shared" si="98"/>
        <v>0</v>
      </c>
      <c r="EX18" s="2">
        <f t="shared" si="98"/>
        <v>1.2009423250462145E-3</v>
      </c>
      <c r="EY18" s="2">
        <f t="shared" si="99"/>
        <v>0.99999999999999967</v>
      </c>
      <c r="EZ18" s="2">
        <f t="shared" si="100"/>
        <v>9.2071826781258512E-2</v>
      </c>
      <c r="FA18" s="2">
        <f t="shared" si="101"/>
        <v>0.50956637401848581</v>
      </c>
      <c r="FB18" s="2">
        <f t="shared" si="102"/>
        <v>1.4407176941751845</v>
      </c>
      <c r="FC18" s="2">
        <f t="shared" si="103"/>
        <v>0.84316989227642569</v>
      </c>
      <c r="FD18" s="2">
        <f t="shared" si="104"/>
        <v>1.6546811863332205</v>
      </c>
      <c r="FE18" s="2">
        <f t="shared" ca="1" si="105"/>
        <v>0.18551361710152137</v>
      </c>
      <c r="FF18" s="2">
        <f t="shared" ca="1" si="106"/>
        <v>1.0791132509547777E-2</v>
      </c>
      <c r="FG18" s="2">
        <f t="shared" ca="1" si="107"/>
        <v>5.8168951035235249E-2</v>
      </c>
      <c r="FH18" s="2">
        <f t="shared" ca="1" si="108"/>
        <v>0.19097385538987449</v>
      </c>
      <c r="FI18" s="2">
        <f t="shared" ca="1" si="147"/>
        <v>6.7210244631827634E-2</v>
      </c>
      <c r="FJ18" s="2">
        <f t="shared" ca="1" si="148"/>
        <v>0.35193427128869259</v>
      </c>
      <c r="FK18" s="2">
        <f t="shared" ca="1" si="149"/>
        <v>6.7210244631827648E-2</v>
      </c>
      <c r="FL18" s="2">
        <f t="shared" ca="1" si="109"/>
        <v>6.7210244631827662E-2</v>
      </c>
      <c r="FP18" s="2">
        <f t="shared" ca="1" si="150"/>
        <v>1.8740449785411979</v>
      </c>
      <c r="FQ18" s="2">
        <f t="shared" ca="1" si="110"/>
        <v>0.12595502145880211</v>
      </c>
      <c r="FR18" s="2">
        <f t="shared" si="151"/>
        <v>0.33333333333333331</v>
      </c>
      <c r="FS18" s="2">
        <f t="shared" ca="1" si="111"/>
        <v>4.1985007152934038E-2</v>
      </c>
      <c r="FT18" s="2">
        <f t="shared" ca="1" si="112"/>
        <v>0.62468165951373267</v>
      </c>
      <c r="FU18" s="2">
        <f t="shared" si="113"/>
        <v>20.026666666666664</v>
      </c>
      <c r="FV18" s="2">
        <f t="shared" ca="1" si="114"/>
        <v>3.0166227639383103</v>
      </c>
      <c r="FW18" s="2">
        <f t="shared" ca="1" si="115"/>
        <v>25.174670878403425</v>
      </c>
      <c r="FX18" s="2">
        <f t="shared" ca="1" si="116"/>
        <v>48.217960309008404</v>
      </c>
      <c r="FY18" s="2">
        <f t="shared" ca="1" si="117"/>
        <v>41.533624687407496</v>
      </c>
      <c r="FZ18" s="2">
        <f t="shared" ca="1" si="117"/>
        <v>6.2562222553713545</v>
      </c>
      <c r="GA18" s="2">
        <f t="shared" ca="1" si="117"/>
        <v>52.210153057221135</v>
      </c>
      <c r="GB18" s="2">
        <f t="shared" ca="1" si="118"/>
        <v>93.702248927059884</v>
      </c>
      <c r="GC18" s="2">
        <f t="shared" ca="1" si="119"/>
        <v>3672169858.5692916</v>
      </c>
      <c r="GD18" s="2">
        <f t="shared" si="152"/>
        <v>38</v>
      </c>
      <c r="GE18">
        <f t="shared" ca="1" si="153"/>
        <v>1539.3700465027223</v>
      </c>
      <c r="GF18">
        <f t="shared" ca="1" si="120"/>
        <v>1539.2047943800355</v>
      </c>
      <c r="GG18">
        <f t="shared" ca="1" si="121"/>
        <v>1858.7686114378296</v>
      </c>
      <c r="GH18" s="2">
        <f t="shared" ca="1" si="122"/>
        <v>0.51105076128063165</v>
      </c>
      <c r="GI18" s="2">
        <f t="shared" ca="1" si="123"/>
        <v>1.0860047027120738</v>
      </c>
      <c r="GJ18" s="2">
        <f t="shared" ca="1" si="124"/>
        <v>-1.3735188408983658</v>
      </c>
      <c r="GK18" s="2">
        <f t="shared" ca="1" si="125"/>
        <v>1.2928419683277217</v>
      </c>
      <c r="GL18" s="2">
        <f t="shared" ca="1" si="154"/>
        <v>-0.51105076128063165</v>
      </c>
      <c r="GM18">
        <f t="shared" ca="1" si="155"/>
        <v>0.35413424443901648</v>
      </c>
      <c r="GN18">
        <f t="shared" ca="1" si="156"/>
        <v>4.4412352069685378E-2</v>
      </c>
      <c r="GO18">
        <f t="shared" ca="1" si="157"/>
        <v>-0.14873877251587997</v>
      </c>
      <c r="GP18">
        <f t="shared" ca="1" si="158"/>
        <v>-0.19764626064145749</v>
      </c>
      <c r="GQ18">
        <f t="shared" ca="1" si="159"/>
        <v>0.28000449895584434</v>
      </c>
      <c r="GR18">
        <f t="shared" ca="1" si="160"/>
        <v>0.12541106308439307</v>
      </c>
      <c r="GS18">
        <f t="shared" ca="1" si="161"/>
        <v>9.3319840195262904E-2</v>
      </c>
      <c r="GT18">
        <f t="shared" ca="1" si="162"/>
        <v>3.6946486851237204E-3</v>
      </c>
      <c r="GU18">
        <f t="shared" ca="1" si="163"/>
        <v>0.58933918179456923</v>
      </c>
      <c r="GV18">
        <f t="shared" ca="1" si="164"/>
        <v>-0.26231657532205144</v>
      </c>
      <c r="GW18">
        <f t="shared" ca="1" si="165"/>
        <v>0.68115685091153422</v>
      </c>
      <c r="GY18" s="15">
        <f t="shared" si="166"/>
        <v>0.18689367750520205</v>
      </c>
      <c r="GZ18" s="2">
        <f t="shared" si="167"/>
        <v>5.6644585500951361E-2</v>
      </c>
      <c r="HA18" s="2">
        <f t="shared" si="168"/>
        <v>2.7195627561245508E-2</v>
      </c>
      <c r="HB18" s="2">
        <f t="shared" si="169"/>
        <v>0.27073389056739894</v>
      </c>
      <c r="HC18" s="2">
        <f t="shared" si="170"/>
        <v>0.69032243105402813</v>
      </c>
      <c r="HD18" s="2">
        <f t="shared" si="171"/>
        <v>0.20922606099382945</v>
      </c>
      <c r="HE18" s="2">
        <f t="shared" si="172"/>
        <v>0.10045150795214235</v>
      </c>
      <c r="HF18" s="2">
        <f t="shared" si="127"/>
        <v>-1.3598269690432772</v>
      </c>
      <c r="HG18" s="2">
        <f t="shared" si="128"/>
        <v>-1.3586568051814669</v>
      </c>
      <c r="HH18" s="2">
        <f t="shared" si="173"/>
        <v>-1.3592418871123719</v>
      </c>
      <c r="HI18" s="2">
        <f t="shared" si="129"/>
        <v>1.7006374550212668</v>
      </c>
      <c r="HJ18" s="2">
        <f t="shared" si="130"/>
        <v>0.26933888620948565</v>
      </c>
      <c r="HK18" s="2">
        <f t="shared" si="131"/>
        <v>0.34677616769866537</v>
      </c>
      <c r="HL18" s="2">
        <f t="shared" si="132"/>
        <v>0.80022125601026561</v>
      </c>
    </row>
    <row r="19" spans="1:220" s="2" customFormat="1" ht="20.25">
      <c r="A19" s="99" t="s">
        <v>166</v>
      </c>
      <c r="B19" s="77">
        <v>180</v>
      </c>
      <c r="C19" s="94">
        <f t="shared" ca="1" si="133"/>
        <v>-2.7348277492504565</v>
      </c>
      <c r="D19" s="59">
        <f t="shared" ca="1" si="0"/>
        <v>-2.4384572949765122</v>
      </c>
      <c r="E19" s="60">
        <f t="shared" ca="1" si="1"/>
        <v>-2.7348277492504565</v>
      </c>
      <c r="F19" s="66">
        <v>45.476293109006548</v>
      </c>
      <c r="G19" s="66">
        <v>1.4775166992404998</v>
      </c>
      <c r="H19" s="66">
        <v>7.8556095195394811</v>
      </c>
      <c r="I19" s="66">
        <v>12.435007717973207</v>
      </c>
      <c r="J19" s="66">
        <v>0.19293424203998955</v>
      </c>
      <c r="K19" s="66">
        <v>22.826715877362375</v>
      </c>
      <c r="L19" s="66">
        <v>8.0824036243128337</v>
      </c>
      <c r="M19" s="66">
        <v>1.1751145919319974</v>
      </c>
      <c r="N19" s="66">
        <v>0.24628179889655699</v>
      </c>
      <c r="O19" s="66"/>
      <c r="P19" s="66">
        <v>0.15887340900575436</v>
      </c>
      <c r="Q19" s="66">
        <v>0.17477777777777778</v>
      </c>
      <c r="R19" s="3">
        <f t="shared" si="134"/>
        <v>99.92675058930925</v>
      </c>
      <c r="S19" s="104">
        <f t="shared" ca="1" si="2"/>
        <v>3.5744731365432143</v>
      </c>
      <c r="T19" s="104">
        <f t="shared" ca="1" si="135"/>
        <v>0.35155312438981273</v>
      </c>
      <c r="U19" s="105">
        <f t="shared" ca="1" si="3"/>
        <v>1703.0407973021966</v>
      </c>
      <c r="V19" s="105">
        <f t="shared" ca="1" si="3"/>
        <v>1642.1855532604479</v>
      </c>
      <c r="W19" s="105">
        <f t="shared" ca="1" si="4"/>
        <v>1648.5192981480202</v>
      </c>
      <c r="X19" s="101">
        <f t="shared" ca="1" si="5"/>
        <v>1795.5780821406111</v>
      </c>
      <c r="Y19" s="101">
        <f t="shared" ca="1" si="6"/>
        <v>1706.3196718712306</v>
      </c>
      <c r="Z19" s="103">
        <f t="shared" ca="1" si="7"/>
        <v>1787.6400043793294</v>
      </c>
      <c r="AA19" s="103">
        <f t="shared" ca="1" si="8"/>
        <v>1758.1816353817869</v>
      </c>
      <c r="AB19" s="103">
        <f t="shared" ca="1" si="136"/>
        <v>57.517890529181109</v>
      </c>
      <c r="AC19" s="4">
        <v>13.3</v>
      </c>
      <c r="AD19" s="273">
        <f t="shared" ca="1" si="9"/>
        <v>12.789558825175328</v>
      </c>
      <c r="AE19" s="3">
        <f t="shared" ca="1" si="10"/>
        <v>121.13806756019169</v>
      </c>
      <c r="AF19" s="3">
        <f t="shared" ca="1" si="11"/>
        <v>214.40312948376504</v>
      </c>
      <c r="AG19" s="2">
        <f t="shared" ca="1" si="12"/>
        <v>565.00139644353681</v>
      </c>
      <c r="AH19" s="2">
        <f t="shared" ca="1" si="13"/>
        <v>161.71201657016752</v>
      </c>
      <c r="AI19" s="85">
        <f t="shared" si="14"/>
        <v>0.4629483908090552</v>
      </c>
      <c r="AJ19" s="85">
        <f t="shared" ca="1" si="15"/>
        <v>3.5744731365432201</v>
      </c>
      <c r="AK19" s="85">
        <f t="shared" ca="1" si="16"/>
        <v>0.29268467328003733</v>
      </c>
      <c r="AL19" s="86">
        <f t="shared" ca="1" si="17"/>
        <v>0.27103736575435561</v>
      </c>
      <c r="AM19" s="85">
        <f t="shared" ca="1" si="18"/>
        <v>0.35155312438981273</v>
      </c>
      <c r="AN19" s="85">
        <f t="shared" ca="1" si="19"/>
        <v>0.3515531243898129</v>
      </c>
      <c r="AO19" s="96">
        <f t="shared" ca="1" si="20"/>
        <v>41.290400572548293</v>
      </c>
      <c r="AP19" s="96">
        <f t="shared" ca="1" si="21"/>
        <v>7.5532118029437383</v>
      </c>
      <c r="AQ19" s="96">
        <f t="shared" ca="1" si="22"/>
        <v>51.156387624507971</v>
      </c>
      <c r="AR19" s="2">
        <f t="shared" ca="1" si="137"/>
        <v>92.351861872183932</v>
      </c>
      <c r="AS19" s="53">
        <f t="shared" ca="1" si="138"/>
        <v>80.934336771986068</v>
      </c>
      <c r="AT19" s="53">
        <f t="shared" ca="1" si="139"/>
        <v>92.351861872183932</v>
      </c>
      <c r="AU19" s="63">
        <f t="shared" ca="1" si="23"/>
        <v>0.3515531243898129</v>
      </c>
      <c r="AV19" s="53">
        <f t="shared" si="24"/>
        <v>1.9956317544288453</v>
      </c>
      <c r="AW19" s="53">
        <f t="shared" ca="1" si="25"/>
        <v>2.0230949229263793</v>
      </c>
      <c r="AX19" s="54">
        <f t="shared" ca="1" si="26"/>
        <v>1712.7639936996161</v>
      </c>
      <c r="AY19" s="54">
        <f t="shared" ca="1" si="27"/>
        <v>1703.0407973021966</v>
      </c>
      <c r="AZ19" s="54">
        <f t="shared" ca="1" si="28"/>
        <v>1642.1855532604479</v>
      </c>
      <c r="BA19" s="34"/>
      <c r="BB19" s="63">
        <f t="shared" ca="1" si="140"/>
        <v>0.28621525112695567</v>
      </c>
      <c r="BC19" s="63">
        <f t="shared" ca="1" si="141"/>
        <v>1.6648579607262116E-2</v>
      </c>
      <c r="BD19" s="53">
        <f t="shared" si="29"/>
        <v>0.16561561816225362</v>
      </c>
      <c r="BE19" s="53">
        <f t="shared" ca="1" si="30"/>
        <v>0.29798757466437387</v>
      </c>
      <c r="BF19" s="53">
        <f t="shared" ca="1" si="31"/>
        <v>0.22522890205216475</v>
      </c>
      <c r="BG19"/>
      <c r="BH19" s="53">
        <f t="shared" ca="1" si="32"/>
        <v>0.20421721263181142</v>
      </c>
      <c r="BI19" s="53">
        <f t="shared" ca="1" si="33"/>
        <v>0.27444292758953653</v>
      </c>
      <c r="BJ19"/>
      <c r="BK19" s="53">
        <f t="shared" ca="1" si="142"/>
        <v>0.70124951979158923</v>
      </c>
      <c r="BL19" s="53">
        <f t="shared" si="34"/>
        <v>0.21140590957296748</v>
      </c>
      <c r="BM19" s="53">
        <f t="shared" si="143"/>
        <v>0.34837401271350038</v>
      </c>
      <c r="BN19" s="53">
        <f t="shared" si="35"/>
        <v>0.37380139388664135</v>
      </c>
      <c r="BO19" s="53">
        <f t="shared" si="36"/>
        <v>0.316360099866827</v>
      </c>
      <c r="BP19" s="53">
        <f t="shared" si="37"/>
        <v>0.27158837908663613</v>
      </c>
      <c r="BQ19" s="54">
        <f t="shared" si="38"/>
        <v>1493.6024341683094</v>
      </c>
      <c r="BR19" s="262">
        <f t="shared" si="39"/>
        <v>6.8721908067496251</v>
      </c>
      <c r="BS19" s="54">
        <f t="shared" si="144"/>
        <v>1772.9718174587092</v>
      </c>
      <c r="BT19"/>
      <c r="BU19" s="2">
        <f t="shared" si="40"/>
        <v>0.75692897984365093</v>
      </c>
      <c r="BV19" s="2">
        <f t="shared" si="41"/>
        <v>1.8492073832797242E-2</v>
      </c>
      <c r="BW19" s="2">
        <f t="shared" si="42"/>
        <v>0.15409198743702396</v>
      </c>
      <c r="BX19" s="2">
        <f t="shared" si="43"/>
        <v>0.17306900094604324</v>
      </c>
      <c r="BY19" s="2">
        <f t="shared" si="44"/>
        <v>2.7196820135324154E-3</v>
      </c>
      <c r="BZ19" s="2">
        <f t="shared" si="45"/>
        <v>0.56641974881792501</v>
      </c>
      <c r="CA19" s="2">
        <f t="shared" si="46"/>
        <v>0.14412274651057122</v>
      </c>
      <c r="CB19" s="2">
        <f t="shared" si="47"/>
        <v>3.79191543056469E-2</v>
      </c>
      <c r="CC19" s="2">
        <f t="shared" si="48"/>
        <v>5.2289129277400632E-3</v>
      </c>
      <c r="CD19" s="2">
        <f t="shared" si="49"/>
        <v>0</v>
      </c>
      <c r="CE19" s="2">
        <f t="shared" si="50"/>
        <v>2.2385995350958764E-3</v>
      </c>
      <c r="CF19" s="2">
        <f t="shared" si="51"/>
        <v>1.8612308861700271</v>
      </c>
      <c r="CG19" s="2">
        <f t="shared" si="52"/>
        <v>0.40668193584581641</v>
      </c>
      <c r="CH19" s="2">
        <f t="shared" si="52"/>
        <v>9.9354002613021089E-3</v>
      </c>
      <c r="CI19" s="2">
        <f t="shared" si="52"/>
        <v>8.2790366623513773E-2</v>
      </c>
      <c r="CJ19" s="2">
        <f t="shared" si="52"/>
        <v>9.2986314718953703E-2</v>
      </c>
      <c r="CK19" s="2">
        <f t="shared" si="52"/>
        <v>1.4612276390538938E-3</v>
      </c>
      <c r="CL19" s="2">
        <f t="shared" si="52"/>
        <v>0.30432535427320512</v>
      </c>
      <c r="CM19" s="2">
        <f t="shared" si="52"/>
        <v>7.7434104270180978E-2</v>
      </c>
      <c r="CN19" s="2">
        <f t="shared" si="52"/>
        <v>2.0373159819884329E-2</v>
      </c>
      <c r="CO19" s="2">
        <f t="shared" si="52"/>
        <v>2.8093843523626072E-3</v>
      </c>
      <c r="CP19" s="2">
        <f t="shared" si="53"/>
        <v>0</v>
      </c>
      <c r="CQ19" s="2">
        <f t="shared" si="54"/>
        <v>1.202752195726982E-3</v>
      </c>
      <c r="CS19" s="2">
        <f t="shared" ca="1" si="55"/>
        <v>0.68725700020885971</v>
      </c>
      <c r="CT19" s="2">
        <f t="shared" ca="1" si="56"/>
        <v>0.10512472933811745</v>
      </c>
      <c r="CU19" s="2">
        <f t="shared" ca="1" si="57"/>
        <v>1.2693892710796024</v>
      </c>
      <c r="CV19" s="2">
        <f t="shared" ca="1" si="58"/>
        <v>2.0617710006265795</v>
      </c>
      <c r="CW19" s="2">
        <f t="shared" ca="1" si="59"/>
        <v>0.33333333333333326</v>
      </c>
      <c r="CX19" s="2">
        <f t="shared" ca="1" si="60"/>
        <v>5.0987587518773754E-2</v>
      </c>
      <c r="CY19" s="2">
        <f t="shared" ca="1" si="61"/>
        <v>0.61567907914789299</v>
      </c>
      <c r="CZ19" s="2">
        <f t="shared" si="62"/>
        <v>0.47620700090139367</v>
      </c>
      <c r="DA19" s="2">
        <f t="shared" si="63"/>
        <v>0.40668193584581641</v>
      </c>
      <c r="DB19" s="2">
        <f t="shared" si="64"/>
        <v>-0.37236288763962605</v>
      </c>
      <c r="DD19" s="2">
        <f t="shared" ca="1" si="65"/>
        <v>1712.7639936996161</v>
      </c>
      <c r="DE19" s="2">
        <f t="shared" ca="1" si="66"/>
        <v>15369.801018857959</v>
      </c>
      <c r="DF19" s="2">
        <f t="shared" si="67"/>
        <v>7.7394091927541719</v>
      </c>
      <c r="DG19" s="2">
        <f t="shared" si="68"/>
        <v>1757.6155315211249</v>
      </c>
      <c r="DH19" s="2">
        <f t="shared" si="69"/>
        <v>1484.4655315211248</v>
      </c>
      <c r="DI19" s="2">
        <f t="shared" si="145"/>
        <v>13602.905801982104</v>
      </c>
      <c r="DJ19" s="2">
        <f t="shared" si="70"/>
        <v>7.7394091927541719</v>
      </c>
      <c r="DK19" s="2">
        <f t="shared" si="71"/>
        <v>1757.6155315211249</v>
      </c>
      <c r="DL19" s="2">
        <f t="shared" ca="1" si="72"/>
        <v>3.5744731365432143</v>
      </c>
      <c r="DM19" s="2">
        <f t="shared" si="73"/>
        <v>-0.37236288763962605</v>
      </c>
      <c r="DN19" s="2">
        <f t="shared" si="74"/>
        <v>0.47620700090139367</v>
      </c>
      <c r="DO19" s="2">
        <f t="shared" si="75"/>
        <v>0.40668193584581641</v>
      </c>
      <c r="DP19" s="2">
        <f t="shared" si="76"/>
        <v>1.9956317544288453</v>
      </c>
      <c r="DQ19" s="2">
        <f t="shared" ca="1" si="77"/>
        <v>15369.862071393305</v>
      </c>
      <c r="DR19" s="2">
        <f t="shared" si="78"/>
        <v>7.7391859655820365</v>
      </c>
      <c r="DS19" s="2">
        <f t="shared" ca="1" si="79"/>
        <v>1712.8291636674276</v>
      </c>
      <c r="DT19" s="2">
        <f t="shared" si="80"/>
        <v>1484.5347862935359</v>
      </c>
      <c r="DU19" s="2">
        <f t="shared" ca="1" si="81"/>
        <v>1652.0026192591313</v>
      </c>
      <c r="DV19" s="9">
        <f t="shared" ca="1" si="82"/>
        <v>2.0230949229263793</v>
      </c>
      <c r="DW19" s="2">
        <f t="shared" ca="1" si="83"/>
        <v>2.8007829968890441</v>
      </c>
      <c r="DX19" s="2">
        <f t="shared" ca="1" si="84"/>
        <v>4626.9177250921657</v>
      </c>
      <c r="DY19" s="2">
        <f t="shared" ca="1" si="146"/>
        <v>1652.0086455221599</v>
      </c>
      <c r="DZ19" s="2">
        <f t="shared" ca="1" si="85"/>
        <v>3.1724064128625611</v>
      </c>
      <c r="EB19" s="2">
        <f t="shared" si="86"/>
        <v>0.75692897984365093</v>
      </c>
      <c r="EC19" s="2">
        <f t="shared" si="87"/>
        <v>1.8492073832797242E-2</v>
      </c>
      <c r="ED19" s="2">
        <f t="shared" si="88"/>
        <v>7.7045993718511979E-2</v>
      </c>
      <c r="EE19" s="2">
        <f t="shared" si="89"/>
        <v>0.17306900094604324</v>
      </c>
      <c r="EF19" s="2">
        <f t="shared" si="90"/>
        <v>2.7196820135324154E-3</v>
      </c>
      <c r="EG19" s="2">
        <f t="shared" si="91"/>
        <v>0.56641974881792501</v>
      </c>
      <c r="EH19" s="2">
        <f t="shared" si="92"/>
        <v>0.14412274651057122</v>
      </c>
      <c r="EI19" s="2">
        <f t="shared" si="93"/>
        <v>1.895957715282345E-2</v>
      </c>
      <c r="EJ19" s="2">
        <f t="shared" si="94"/>
        <v>2.6144564638700316E-3</v>
      </c>
      <c r="EK19" s="2">
        <f t="shared" si="95"/>
        <v>0</v>
      </c>
      <c r="EL19" s="2">
        <f t="shared" si="96"/>
        <v>1.1192997675479382E-3</v>
      </c>
      <c r="EM19" s="2">
        <f t="shared" si="97"/>
        <v>1.7614915590672735</v>
      </c>
      <c r="EN19" s="2">
        <f t="shared" si="98"/>
        <v>0.42970911552051488</v>
      </c>
      <c r="EO19" s="2">
        <f t="shared" si="98"/>
        <v>1.0497963352483489E-2</v>
      </c>
      <c r="EP19" s="2">
        <f t="shared" si="98"/>
        <v>4.3739064954309841E-2</v>
      </c>
      <c r="EQ19" s="2">
        <f t="shared" si="98"/>
        <v>9.8251393857195043E-2</v>
      </c>
      <c r="ER19" s="2">
        <f t="shared" si="98"/>
        <v>1.5439653965600112E-3</v>
      </c>
      <c r="ES19" s="2">
        <f t="shared" si="98"/>
        <v>0.32155689075106875</v>
      </c>
      <c r="ET19" s="2">
        <f t="shared" si="98"/>
        <v>8.1818584805984307E-2</v>
      </c>
      <c r="EU19" s="2">
        <f t="shared" si="98"/>
        <v>1.0763365316869713E-2</v>
      </c>
      <c r="EV19" s="2">
        <f t="shared" si="98"/>
        <v>1.4842287778287233E-3</v>
      </c>
      <c r="EW19" s="2">
        <f t="shared" si="98"/>
        <v>0</v>
      </c>
      <c r="EX19" s="2">
        <f t="shared" si="98"/>
        <v>6.3542726718521323E-4</v>
      </c>
      <c r="EY19" s="2">
        <f t="shared" si="99"/>
        <v>0.99999999999999989</v>
      </c>
      <c r="EZ19" s="2">
        <f t="shared" si="100"/>
        <v>8.2790366623513773E-2</v>
      </c>
      <c r="FA19" s="2">
        <f t="shared" si="101"/>
        <v>0.49940770273063229</v>
      </c>
      <c r="FB19" s="2">
        <f t="shared" si="102"/>
        <v>1.4482253756263426</v>
      </c>
      <c r="FC19" s="2">
        <f t="shared" si="103"/>
        <v>0.898819940330156</v>
      </c>
      <c r="FD19" s="2">
        <f t="shared" si="104"/>
        <v>1.7997718806010417</v>
      </c>
      <c r="FE19" s="2">
        <f t="shared" ca="1" si="105"/>
        <v>0.1485325803904648</v>
      </c>
      <c r="FF19" s="2">
        <f t="shared" ca="1" si="106"/>
        <v>1.1251195003790442E-2</v>
      </c>
      <c r="FG19" s="2">
        <f t="shared" ca="1" si="107"/>
        <v>7.5749003849614166E-2</v>
      </c>
      <c r="FH19" s="2">
        <f t="shared" ca="1" si="108"/>
        <v>0.23556952448658544</v>
      </c>
      <c r="FI19" s="2">
        <f t="shared" ca="1" si="147"/>
        <v>8.2815202344281649E-2</v>
      </c>
      <c r="FJ19" s="2">
        <f t="shared" ca="1" si="148"/>
        <v>0.3515531243898129</v>
      </c>
      <c r="FK19" s="2">
        <f t="shared" ca="1" si="149"/>
        <v>8.2815202344281649E-2</v>
      </c>
      <c r="FL19" s="2">
        <f t="shared" ca="1" si="109"/>
        <v>8.2815202344281608E-2</v>
      </c>
      <c r="FP19" s="2">
        <f t="shared" ca="1" si="150"/>
        <v>1.8470372374436788</v>
      </c>
      <c r="FQ19" s="2">
        <f t="shared" ca="1" si="110"/>
        <v>0.15296276255632124</v>
      </c>
      <c r="FR19" s="2">
        <f t="shared" si="151"/>
        <v>0.33333333333333331</v>
      </c>
      <c r="FS19" s="2">
        <f t="shared" ca="1" si="111"/>
        <v>5.0987587518773747E-2</v>
      </c>
      <c r="FT19" s="2">
        <f t="shared" ca="1" si="112"/>
        <v>0.61567907914789288</v>
      </c>
      <c r="FU19" s="2">
        <f t="shared" si="113"/>
        <v>20.026666666666664</v>
      </c>
      <c r="FV19" s="2">
        <f t="shared" ca="1" si="114"/>
        <v>3.6634581632238934</v>
      </c>
      <c r="FW19" s="2">
        <f t="shared" ca="1" si="115"/>
        <v>24.811866889660081</v>
      </c>
      <c r="FX19" s="2">
        <f t="shared" ca="1" si="116"/>
        <v>48.501991719550638</v>
      </c>
      <c r="FY19" s="2">
        <f t="shared" ca="1" si="117"/>
        <v>41.290400572548293</v>
      </c>
      <c r="FZ19" s="2">
        <f t="shared" ca="1" si="117"/>
        <v>7.5532118029437383</v>
      </c>
      <c r="GA19" s="2">
        <f t="shared" ca="1" si="117"/>
        <v>51.156387624507971</v>
      </c>
      <c r="GB19" s="2">
        <f t="shared" ca="1" si="118"/>
        <v>92.351861872183932</v>
      </c>
      <c r="GC19" s="2">
        <f t="shared" ca="1" si="119"/>
        <v>3574473136.5432143</v>
      </c>
      <c r="GD19" s="2">
        <f t="shared" si="152"/>
        <v>38</v>
      </c>
      <c r="GE19">
        <f t="shared" ca="1" si="153"/>
        <v>1530.0255607494391</v>
      </c>
      <c r="GF19">
        <f t="shared" ca="1" si="120"/>
        <v>1529.8343955740454</v>
      </c>
      <c r="GG19">
        <f t="shared" ca="1" si="121"/>
        <v>1854.0121823481459</v>
      </c>
      <c r="GH19" s="2">
        <f t="shared" ca="1" si="122"/>
        <v>0.53429447912434547</v>
      </c>
      <c r="GI19" s="2">
        <f t="shared" ca="1" si="123"/>
        <v>1.1155091127639492</v>
      </c>
      <c r="GJ19" s="2">
        <f t="shared" ca="1" si="124"/>
        <v>-1.4294013658972817</v>
      </c>
      <c r="GK19" s="2">
        <f t="shared" ca="1" si="125"/>
        <v>1.3193177799967888</v>
      </c>
      <c r="GL19" s="2">
        <f t="shared" ca="1" si="154"/>
        <v>-0.53429447912434547</v>
      </c>
      <c r="GM19">
        <f t="shared" ca="1" si="155"/>
        <v>0.3611465934817617</v>
      </c>
      <c r="GN19">
        <f t="shared" ca="1" si="156"/>
        <v>4.7103216903849984E-2</v>
      </c>
      <c r="GO19">
        <f t="shared" ca="1" si="157"/>
        <v>-0.15267827136898859</v>
      </c>
      <c r="GP19">
        <f t="shared" ca="1" si="158"/>
        <v>-0.20248892542236713</v>
      </c>
      <c r="GQ19">
        <f t="shared" ca="1" si="159"/>
        <v>0.28183988464266846</v>
      </c>
      <c r="GR19">
        <f t="shared" ca="1" si="160"/>
        <v>0.13042686198348083</v>
      </c>
      <c r="GS19">
        <f t="shared" ca="1" si="161"/>
        <v>9.6913870957228518E-2</v>
      </c>
      <c r="GT19">
        <f t="shared" ca="1" si="162"/>
        <v>3.4712803356488063E-3</v>
      </c>
      <c r="GU19">
        <f t="shared" ca="1" si="163"/>
        <v>0.59470487804794603</v>
      </c>
      <c r="GV19">
        <f t="shared" ca="1" si="164"/>
        <v>-0.25460195173811995</v>
      </c>
      <c r="GW19">
        <f t="shared" ca="1" si="165"/>
        <v>0.70124951979158778</v>
      </c>
      <c r="GY19" s="15">
        <f t="shared" si="166"/>
        <v>0.2064543137803512</v>
      </c>
      <c r="GZ19" s="2">
        <f t="shared" si="167"/>
        <v>5.4237028306793333E-2</v>
      </c>
      <c r="HA19" s="2">
        <f t="shared" si="168"/>
        <v>4.2145484881362466E-2</v>
      </c>
      <c r="HB19" s="2">
        <f t="shared" si="169"/>
        <v>0.302836826968507</v>
      </c>
      <c r="HC19" s="2">
        <f t="shared" si="170"/>
        <v>0.68173450318782092</v>
      </c>
      <c r="HD19" s="2">
        <f t="shared" si="171"/>
        <v>0.17909654136098058</v>
      </c>
      <c r="HE19" s="2">
        <f t="shared" si="172"/>
        <v>0.13916895545119853</v>
      </c>
      <c r="HF19" s="2">
        <f t="shared" si="127"/>
        <v>-1.3862639169857234</v>
      </c>
      <c r="HG19" s="2">
        <f t="shared" si="128"/>
        <v>-1.3684306791407108</v>
      </c>
      <c r="HH19" s="2">
        <f t="shared" si="173"/>
        <v>-1.3773472980632171</v>
      </c>
      <c r="HI19" s="2">
        <f t="shared" si="129"/>
        <v>1.9615106247501948</v>
      </c>
      <c r="HJ19" s="2">
        <f t="shared" si="130"/>
        <v>0.2430233022346637</v>
      </c>
      <c r="HK19" s="2">
        <f t="shared" si="131"/>
        <v>0.34870277735509025</v>
      </c>
      <c r="HL19" s="2">
        <f t="shared" si="132"/>
        <v>0.6449533592494775</v>
      </c>
    </row>
    <row r="20" spans="1:220" s="2" customFormat="1" ht="20.25">
      <c r="A20" s="99" t="s">
        <v>167</v>
      </c>
      <c r="B20" s="77">
        <v>131</v>
      </c>
      <c r="C20" s="94">
        <f t="shared" ca="1" si="133"/>
        <v>-3.9930942475242595</v>
      </c>
      <c r="D20" s="59">
        <f t="shared" ca="1" si="0"/>
        <v>-3.9453126266271221</v>
      </c>
      <c r="E20" s="60">
        <f t="shared" ca="1" si="1"/>
        <v>-3.993094247524259</v>
      </c>
      <c r="F20" s="66">
        <v>46.506672520589319</v>
      </c>
      <c r="G20" s="66">
        <v>0.82273389305409428</v>
      </c>
      <c r="H20" s="66">
        <v>12.539542098698787</v>
      </c>
      <c r="I20" s="66">
        <v>10.341753178564542</v>
      </c>
      <c r="J20" s="66">
        <v>0.17377073964892975</v>
      </c>
      <c r="K20" s="66">
        <v>17.739065615873571</v>
      </c>
      <c r="L20" s="66">
        <v>9.9633907484833149</v>
      </c>
      <c r="M20" s="66">
        <v>1.5283951330833059</v>
      </c>
      <c r="N20" s="66">
        <v>0.26256477761317365</v>
      </c>
      <c r="O20" s="66"/>
      <c r="P20" s="66">
        <v>8.1070900431035167E-2</v>
      </c>
      <c r="Q20" s="66">
        <v>0.17477777777777778</v>
      </c>
      <c r="R20" s="3">
        <f t="shared" si="134"/>
        <v>99.958959606040082</v>
      </c>
      <c r="S20" s="104">
        <f t="shared" ca="1" si="2"/>
        <v>2.5310349370981773</v>
      </c>
      <c r="T20" s="104">
        <f t="shared" ca="1" si="135"/>
        <v>0.34535062472143352</v>
      </c>
      <c r="U20" s="105">
        <f t="shared" ca="1" si="3"/>
        <v>1543.6595753396491</v>
      </c>
      <c r="V20" s="105">
        <f t="shared" ca="1" si="3"/>
        <v>1507.5483344018573</v>
      </c>
      <c r="W20" s="105">
        <f t="shared" ca="1" si="4"/>
        <v>1514.6149290410833</v>
      </c>
      <c r="X20" s="101">
        <f t="shared" ca="1" si="5"/>
        <v>1604.3504194725097</v>
      </c>
      <c r="Y20" s="101">
        <f t="shared" ca="1" si="6"/>
        <v>1538.070743147008</v>
      </c>
      <c r="Z20" s="103">
        <f t="shared" ca="1" si="7"/>
        <v>1596.1754574191323</v>
      </c>
      <c r="AA20" s="103">
        <f t="shared" ca="1" si="8"/>
        <v>1573.2157170335256</v>
      </c>
      <c r="AB20" s="103">
        <f t="shared" ca="1" si="136"/>
        <v>42.815264782706052</v>
      </c>
      <c r="AC20" s="4">
        <v>13.3</v>
      </c>
      <c r="AD20" s="273">
        <f t="shared" ca="1" si="9"/>
        <v>11.794633154459705</v>
      </c>
      <c r="AE20" s="3">
        <f t="shared" ca="1" si="10"/>
        <v>112.41085280265112</v>
      </c>
      <c r="AF20" s="3">
        <f t="shared" ca="1" si="11"/>
        <v>213.42793589408043</v>
      </c>
      <c r="AG20" s="2">
        <f t="shared" ca="1" si="12"/>
        <v>526.69231106858547</v>
      </c>
      <c r="AH20" s="2">
        <f t="shared" ca="1" si="13"/>
        <v>95.520011215861544</v>
      </c>
      <c r="AI20" s="85">
        <f t="shared" si="14"/>
        <v>0.37074156830706079</v>
      </c>
      <c r="AJ20" s="85">
        <f t="shared" ca="1" si="15"/>
        <v>2.5310349370981773</v>
      </c>
      <c r="AK20" s="85">
        <f t="shared" ca="1" si="16"/>
        <v>0.28286817668544684</v>
      </c>
      <c r="AL20" s="86">
        <f t="shared" ca="1" si="17"/>
        <v>0.2741728768073291</v>
      </c>
      <c r="AM20" s="85">
        <f t="shared" ca="1" si="18"/>
        <v>0.34535062472143363</v>
      </c>
      <c r="AN20" s="85">
        <f t="shared" ca="1" si="19"/>
        <v>0.3453506247214338</v>
      </c>
      <c r="AO20" s="96">
        <f t="shared" ca="1" si="20"/>
        <v>41.186886605542036</v>
      </c>
      <c r="AP20" s="96">
        <f t="shared" ca="1" si="21"/>
        <v>8.1051987361168063</v>
      </c>
      <c r="AQ20" s="96">
        <f t="shared" ca="1" si="22"/>
        <v>50.707914658341153</v>
      </c>
      <c r="AS20" s="53">
        <f t="shared" ca="1" si="138"/>
        <v>79.390235276135385</v>
      </c>
      <c r="AT20" s="53">
        <f t="shared" ca="1" si="139"/>
        <v>91.772311142321456</v>
      </c>
      <c r="AU20" s="63">
        <f t="shared" ca="1" si="23"/>
        <v>0.3453506247214338</v>
      </c>
      <c r="AV20" s="53">
        <f t="shared" si="24"/>
        <v>2.5395193885846519</v>
      </c>
      <c r="AW20" s="53">
        <f t="shared" ca="1" si="25"/>
        <v>2.572223371792457</v>
      </c>
      <c r="AX20" s="54">
        <f t="shared" ca="1" si="26"/>
        <v>1547.5199106802625</v>
      </c>
      <c r="AY20" s="54">
        <f t="shared" ca="1" si="27"/>
        <v>1543.6595753396487</v>
      </c>
      <c r="AZ20" s="54">
        <f t="shared" ca="1" si="28"/>
        <v>1507.5483344018564</v>
      </c>
      <c r="BA20" s="34"/>
      <c r="BB20" s="63">
        <f t="shared" ca="1" si="140"/>
        <v>0.18135827922390957</v>
      </c>
      <c r="BC20" s="63">
        <f t="shared" ca="1" si="141"/>
        <v>1.7145398498842626E-2</v>
      </c>
      <c r="BD20" s="53">
        <f t="shared" si="29"/>
        <v>9.518785912584371E-2</v>
      </c>
      <c r="BE20" s="53">
        <f t="shared" ca="1" si="30"/>
        <v>0.19348190676858518</v>
      </c>
      <c r="BF20" s="53">
        <f t="shared" ca="1" si="31"/>
        <v>0.15628423986752099</v>
      </c>
      <c r="BG20"/>
      <c r="BH20" s="53">
        <f t="shared" ca="1" si="32"/>
        <v>0.11154854740460671</v>
      </c>
      <c r="BI20" s="53">
        <f t="shared" ca="1" si="33"/>
        <v>0.16923465167923202</v>
      </c>
      <c r="BJ20"/>
      <c r="BK20" s="53">
        <f t="shared" ca="1" si="142"/>
        <v>0.34699583032928821</v>
      </c>
      <c r="BL20" s="53">
        <f t="shared" si="34"/>
        <v>0.10259039777453054</v>
      </c>
      <c r="BM20" s="53">
        <f t="shared" si="143"/>
        <v>0.14775446034471434</v>
      </c>
      <c r="BN20" s="53">
        <f t="shared" si="35"/>
        <v>0.27868515415524298</v>
      </c>
      <c r="BO20" s="53">
        <f t="shared" si="36"/>
        <v>0.21976802637385651</v>
      </c>
      <c r="BP20" s="53">
        <f t="shared" si="37"/>
        <v>0.21536057413271326</v>
      </c>
      <c r="BQ20" s="54">
        <f t="shared" si="38"/>
        <v>1402.4852891994324</v>
      </c>
      <c r="BR20" s="262">
        <f t="shared" si="39"/>
        <v>3.6526751029231637</v>
      </c>
      <c r="BS20" s="54">
        <f t="shared" si="144"/>
        <v>1574.8478185854065</v>
      </c>
      <c r="BT20"/>
      <c r="BU20" s="2">
        <f t="shared" si="40"/>
        <v>0.77407910320554796</v>
      </c>
      <c r="BV20" s="2">
        <f t="shared" si="41"/>
        <v>1.0297044969387912E-2</v>
      </c>
      <c r="BW20" s="2">
        <f t="shared" si="42"/>
        <v>0.24596983324242425</v>
      </c>
      <c r="BX20" s="2">
        <f t="shared" si="43"/>
        <v>0.14393532607605486</v>
      </c>
      <c r="BY20" s="2">
        <f t="shared" si="44"/>
        <v>2.449545244557792E-3</v>
      </c>
      <c r="BZ20" s="2">
        <f t="shared" si="45"/>
        <v>0.44017532545591992</v>
      </c>
      <c r="CA20" s="2">
        <f t="shared" si="46"/>
        <v>0.17766388638522318</v>
      </c>
      <c r="CB20" s="2">
        <f t="shared" si="47"/>
        <v>4.931897815693146E-2</v>
      </c>
      <c r="CC20" s="2">
        <f t="shared" si="48"/>
        <v>5.5746237285174867E-3</v>
      </c>
      <c r="CD20" s="2">
        <f t="shared" si="49"/>
        <v>0</v>
      </c>
      <c r="CE20" s="2">
        <f t="shared" si="50"/>
        <v>1.1423263411446409E-3</v>
      </c>
      <c r="CF20" s="2">
        <f t="shared" si="51"/>
        <v>1.8506059928057095</v>
      </c>
      <c r="CG20" s="2">
        <f t="shared" si="52"/>
        <v>0.41828412218203415</v>
      </c>
      <c r="CH20" s="2">
        <f t="shared" si="52"/>
        <v>5.564147641052718E-3</v>
      </c>
      <c r="CI20" s="2">
        <f t="shared" si="52"/>
        <v>0.13291312910400155</v>
      </c>
      <c r="CJ20" s="2">
        <f t="shared" si="52"/>
        <v>7.777740190813609E-2</v>
      </c>
      <c r="CK20" s="2">
        <f t="shared" si="52"/>
        <v>1.3236449325682929E-3</v>
      </c>
      <c r="CL20" s="2">
        <f t="shared" si="52"/>
        <v>0.23785469579538579</v>
      </c>
      <c r="CM20" s="2">
        <f t="shared" si="52"/>
        <v>9.6003086057160347E-2</v>
      </c>
      <c r="CN20" s="2">
        <f t="shared" si="52"/>
        <v>2.6650177481679287E-2</v>
      </c>
      <c r="CO20" s="2">
        <f t="shared" si="52"/>
        <v>3.0123233957898205E-3</v>
      </c>
      <c r="CP20" s="2">
        <f t="shared" si="53"/>
        <v>0</v>
      </c>
      <c r="CQ20" s="2">
        <f t="shared" si="54"/>
        <v>6.1727150219196918E-4</v>
      </c>
      <c r="CS20" s="2">
        <f t="shared" ca="1" si="55"/>
        <v>0.68553406467280353</v>
      </c>
      <c r="CT20" s="2">
        <f t="shared" ca="1" si="56"/>
        <v>0.11280721970935013</v>
      </c>
      <c r="CU20" s="2">
        <f t="shared" ca="1" si="57"/>
        <v>1.2582609096362569</v>
      </c>
      <c r="CV20" s="2">
        <f t="shared" ca="1" si="58"/>
        <v>2.0566021940184105</v>
      </c>
      <c r="CW20" s="2">
        <f t="shared" ca="1" si="59"/>
        <v>0.33333333333333337</v>
      </c>
      <c r="CX20" s="2">
        <f t="shared" ca="1" si="60"/>
        <v>5.4851259051190281E-2</v>
      </c>
      <c r="CY20" s="2">
        <f t="shared" ca="1" si="61"/>
        <v>0.61181540761547637</v>
      </c>
      <c r="CZ20" s="2">
        <f t="shared" si="62"/>
        <v>0.41295882869325051</v>
      </c>
      <c r="DA20" s="2">
        <f t="shared" si="63"/>
        <v>0.41828412218203415</v>
      </c>
      <c r="DB20" s="2">
        <f t="shared" si="64"/>
        <v>-0.53821418159118461</v>
      </c>
      <c r="DD20" s="2">
        <f t="shared" ca="1" si="65"/>
        <v>1547.5199106802625</v>
      </c>
      <c r="DE20" s="2">
        <f t="shared" ca="1" si="66"/>
        <v>14854.005411271224</v>
      </c>
      <c r="DF20" s="2">
        <f t="shared" si="67"/>
        <v>8.15853841717046</v>
      </c>
      <c r="DG20" s="2">
        <f t="shared" si="68"/>
        <v>1667.3214130307247</v>
      </c>
      <c r="DH20" s="2">
        <f t="shared" si="69"/>
        <v>1394.1714130307246</v>
      </c>
      <c r="DI20" s="2">
        <f t="shared" si="145"/>
        <v>13602.905801982104</v>
      </c>
      <c r="DJ20" s="2">
        <f t="shared" si="70"/>
        <v>8.15853841717046</v>
      </c>
      <c r="DK20" s="2">
        <f t="shared" si="71"/>
        <v>1667.3214130307247</v>
      </c>
      <c r="DL20" s="2">
        <f t="shared" ca="1" si="72"/>
        <v>2.5310349370981773</v>
      </c>
      <c r="DM20" s="2">
        <f t="shared" si="73"/>
        <v>-0.53821418159118461</v>
      </c>
      <c r="DN20" s="2">
        <f t="shared" si="74"/>
        <v>0.41295882869325051</v>
      </c>
      <c r="DO20" s="2">
        <f t="shared" si="75"/>
        <v>0.41828412218203415</v>
      </c>
      <c r="DP20" s="2">
        <f t="shared" si="76"/>
        <v>2.5395193885846519</v>
      </c>
      <c r="DQ20" s="2">
        <f t="shared" ca="1" si="77"/>
        <v>14854.090569407625</v>
      </c>
      <c r="DR20" s="2">
        <f t="shared" si="78"/>
        <v>8.1583151899983246</v>
      </c>
      <c r="DS20" s="2">
        <f t="shared" ca="1" si="79"/>
        <v>1547.5801659070462</v>
      </c>
      <c r="DT20" s="2">
        <f t="shared" si="80"/>
        <v>1394.234639254516</v>
      </c>
      <c r="DU20" s="2">
        <f t="shared" ca="1" si="81"/>
        <v>1518.0982501521944</v>
      </c>
      <c r="DV20" s="9">
        <f t="shared" ca="1" si="82"/>
        <v>2.572223371792457</v>
      </c>
      <c r="DW20" s="2">
        <f t="shared" ca="1" si="83"/>
        <v>3.0220219940142861</v>
      </c>
      <c r="DX20" s="2">
        <f t="shared" ca="1" si="84"/>
        <v>4569.4347146847385</v>
      </c>
      <c r="DY20" s="2">
        <f t="shared" ca="1" si="146"/>
        <v>1512.0454860141356</v>
      </c>
      <c r="DZ20" s="2">
        <f t="shared" ca="1" si="85"/>
        <v>3.9771593357259589</v>
      </c>
      <c r="EB20" s="2">
        <f t="shared" si="86"/>
        <v>0.77407910320554796</v>
      </c>
      <c r="EC20" s="2">
        <f t="shared" si="87"/>
        <v>1.0297044969387912E-2</v>
      </c>
      <c r="ED20" s="2">
        <f t="shared" si="88"/>
        <v>0.12298491662121212</v>
      </c>
      <c r="EE20" s="2">
        <f t="shared" si="89"/>
        <v>0.14393532607605486</v>
      </c>
      <c r="EF20" s="2">
        <f t="shared" si="90"/>
        <v>2.449545244557792E-3</v>
      </c>
      <c r="EG20" s="2">
        <f t="shared" si="91"/>
        <v>0.44017532545591992</v>
      </c>
      <c r="EH20" s="2">
        <f t="shared" si="92"/>
        <v>0.17766388638522318</v>
      </c>
      <c r="EI20" s="2">
        <f t="shared" si="93"/>
        <v>2.465948907846573E-2</v>
      </c>
      <c r="EJ20" s="2">
        <f t="shared" si="94"/>
        <v>2.7873118642587433E-3</v>
      </c>
      <c r="EK20" s="2">
        <f t="shared" si="95"/>
        <v>0</v>
      </c>
      <c r="EL20" s="2">
        <f t="shared" si="96"/>
        <v>5.7116317057232045E-4</v>
      </c>
      <c r="EM20" s="2">
        <f t="shared" si="97"/>
        <v>1.6996031120712005</v>
      </c>
      <c r="EN20" s="2">
        <f t="shared" si="98"/>
        <v>0.45544697918458499</v>
      </c>
      <c r="EO20" s="2">
        <f t="shared" si="98"/>
        <v>6.0584997145830969E-3</v>
      </c>
      <c r="EP20" s="2">
        <f t="shared" si="98"/>
        <v>7.2360962243319296E-2</v>
      </c>
      <c r="EQ20" s="2">
        <f t="shared" si="98"/>
        <v>8.468761033312644E-2</v>
      </c>
      <c r="ER20" s="2">
        <f t="shared" si="98"/>
        <v>1.4412454455750459E-3</v>
      </c>
      <c r="ES20" s="2">
        <f t="shared" si="98"/>
        <v>0.25898712607057167</v>
      </c>
      <c r="ET20" s="2">
        <f t="shared" si="98"/>
        <v>0.10453257300094917</v>
      </c>
      <c r="EU20" s="2">
        <f t="shared" si="98"/>
        <v>1.4508969125394662E-2</v>
      </c>
      <c r="EV20" s="2">
        <f t="shared" si="98"/>
        <v>1.6399780892740422E-3</v>
      </c>
      <c r="EW20" s="2">
        <f t="shared" si="98"/>
        <v>0</v>
      </c>
      <c r="EX20" s="2">
        <f t="shared" si="98"/>
        <v>3.3605679262158999E-4</v>
      </c>
      <c r="EY20" s="2">
        <f t="shared" si="99"/>
        <v>1</v>
      </c>
      <c r="EZ20" s="2">
        <f t="shared" si="100"/>
        <v>0.13291312910400155</v>
      </c>
      <c r="FA20" s="2">
        <f t="shared" si="101"/>
        <v>0.55676139892708842</v>
      </c>
      <c r="FB20" s="2">
        <f t="shared" si="102"/>
        <v>1.4763994911896408</v>
      </c>
      <c r="FC20" s="2">
        <f t="shared" si="103"/>
        <v>0.72575338667092781</v>
      </c>
      <c r="FD20" s="2">
        <f t="shared" si="104"/>
        <v>1.3035267676054711</v>
      </c>
      <c r="FE20" s="2">
        <f t="shared" ca="1" si="105"/>
        <v>0.12980450280667913</v>
      </c>
      <c r="FF20" s="2">
        <f t="shared" ca="1" si="106"/>
        <v>8.7271789136061095E-3</v>
      </c>
      <c r="FG20" s="2">
        <f t="shared" ca="1" si="107"/>
        <v>6.7233252505914221E-2</v>
      </c>
      <c r="FH20" s="2">
        <f t="shared" ca="1" si="108"/>
        <v>0.25960075130372989</v>
      </c>
      <c r="FI20" s="2">
        <f t="shared" ca="1" si="147"/>
        <v>8.9653281640896643E-2</v>
      </c>
      <c r="FJ20" s="2">
        <f t="shared" ca="1" si="148"/>
        <v>0.34535062472143363</v>
      </c>
      <c r="FK20" s="2">
        <f t="shared" ca="1" si="149"/>
        <v>8.9653281640896601E-2</v>
      </c>
      <c r="FL20" s="2">
        <f t="shared" ca="1" si="109"/>
        <v>8.9653281640896643E-2</v>
      </c>
      <c r="FP20" s="2">
        <f t="shared" ca="1" si="150"/>
        <v>1.8354462228464292</v>
      </c>
      <c r="FQ20" s="2">
        <f t="shared" ca="1" si="110"/>
        <v>0.16455377715357078</v>
      </c>
      <c r="FR20" s="2">
        <f t="shared" si="151"/>
        <v>0.33333333333333331</v>
      </c>
      <c r="FS20" s="2">
        <f t="shared" ca="1" si="111"/>
        <v>5.485125905119026E-2</v>
      </c>
      <c r="FT20" s="2">
        <f t="shared" ca="1" si="112"/>
        <v>0.61181540761547637</v>
      </c>
      <c r="FU20" s="2">
        <f t="shared" si="113"/>
        <v>20.026666666666664</v>
      </c>
      <c r="FV20" s="2">
        <f t="shared" ca="1" si="114"/>
        <v>3.94106296282802</v>
      </c>
      <c r="FW20" s="2">
        <f t="shared" ca="1" si="115"/>
        <v>24.656160926903695</v>
      </c>
      <c r="FX20" s="2">
        <f t="shared" ca="1" si="116"/>
        <v>48.623890556398379</v>
      </c>
      <c r="FY20" s="2">
        <f t="shared" ca="1" si="117"/>
        <v>41.186886605542036</v>
      </c>
      <c r="FZ20" s="2">
        <f t="shared" ca="1" si="117"/>
        <v>8.1051987361168063</v>
      </c>
      <c r="GA20" s="2">
        <f t="shared" ca="1" si="117"/>
        <v>50.707914658341153</v>
      </c>
      <c r="GB20" s="2">
        <f t="shared" ca="1" si="118"/>
        <v>91.772311142321456</v>
      </c>
      <c r="GC20" s="2">
        <f t="shared" ca="1" si="119"/>
        <v>2531034937.0981774</v>
      </c>
      <c r="GD20" s="2">
        <f t="shared" si="152"/>
        <v>38</v>
      </c>
      <c r="GE20">
        <f t="shared" ca="1" si="153"/>
        <v>1424.1021224978217</v>
      </c>
      <c r="GF20">
        <f t="shared" ca="1" si="120"/>
        <v>1423.6776155395974</v>
      </c>
      <c r="GG20">
        <f t="shared" ca="1" si="121"/>
        <v>1799.3431116228167</v>
      </c>
      <c r="GH20" s="2">
        <f t="shared" ca="1" si="122"/>
        <v>0.31938509405578402</v>
      </c>
      <c r="GI20" s="2">
        <f t="shared" ca="1" si="123"/>
        <v>1.4306274489963502</v>
      </c>
      <c r="GJ20" s="2">
        <f t="shared" ca="1" si="124"/>
        <v>-2.0262480159798431</v>
      </c>
      <c r="GK20" s="2">
        <f t="shared" ca="1" si="125"/>
        <v>1.6020895320463937</v>
      </c>
      <c r="GL20" s="2">
        <f t="shared" ca="1" si="154"/>
        <v>-0.31938509405578402</v>
      </c>
      <c r="GM20">
        <f t="shared" ca="1" si="155"/>
        <v>0.42158443196610035</v>
      </c>
      <c r="GN20">
        <f t="shared" ca="1" si="156"/>
        <v>7.4929648509122912E-2</v>
      </c>
      <c r="GO20">
        <f t="shared" ca="1" si="157"/>
        <v>-0.18823238288993821</v>
      </c>
      <c r="GP20">
        <f t="shared" ca="1" si="158"/>
        <v>-9.9677667092620131E-2</v>
      </c>
      <c r="GQ20">
        <f t="shared" ca="1" si="159"/>
        <v>0.29765865564516231</v>
      </c>
      <c r="GR20">
        <f t="shared" ca="1" si="160"/>
        <v>0.17773343327617946</v>
      </c>
      <c r="GS20">
        <f t="shared" ca="1" si="161"/>
        <v>-1.3625067288195167E-2</v>
      </c>
      <c r="GT20">
        <f t="shared" ca="1" si="162"/>
        <v>1.7247716189318014E-3</v>
      </c>
      <c r="GU20">
        <f t="shared" ca="1" si="163"/>
        <v>0.31101028893389049</v>
      </c>
      <c r="GV20">
        <f t="shared" ca="1" si="164"/>
        <v>-0.3855988905707059</v>
      </c>
      <c r="GW20">
        <f t="shared" ca="1" si="165"/>
        <v>0.34699583032928494</v>
      </c>
      <c r="GY20" s="15">
        <f t="shared" si="166"/>
        <v>0.16322538482282106</v>
      </c>
      <c r="GZ20" s="2">
        <f t="shared" si="167"/>
        <v>7.8419461957902392E-2</v>
      </c>
      <c r="HA20" s="2">
        <f t="shared" si="168"/>
        <v>4.6382740260681031E-2</v>
      </c>
      <c r="HB20" s="2">
        <f t="shared" si="169"/>
        <v>0.28802758704140446</v>
      </c>
      <c r="HC20" s="2">
        <f t="shared" si="170"/>
        <v>0.5667005251110101</v>
      </c>
      <c r="HD20" s="2">
        <f t="shared" si="171"/>
        <v>0.2722637187757625</v>
      </c>
      <c r="HE20" s="2">
        <f t="shared" si="172"/>
        <v>0.16103575611322757</v>
      </c>
      <c r="HF20" s="2">
        <f t="shared" si="127"/>
        <v>-1.3770677075791551</v>
      </c>
      <c r="HG20" s="2">
        <f t="shared" si="128"/>
        <v>-1.3623990126418835</v>
      </c>
      <c r="HH20" s="2">
        <f t="shared" si="173"/>
        <v>-1.3697333601105193</v>
      </c>
      <c r="HI20" s="2">
        <f t="shared" si="129"/>
        <v>2.1063560493226969</v>
      </c>
      <c r="HJ20" s="2">
        <f t="shared" si="130"/>
        <v>0.2243161095794331</v>
      </c>
      <c r="HK20" s="2">
        <f t="shared" si="131"/>
        <v>0.34008957997821193</v>
      </c>
      <c r="HL20" s="2">
        <f t="shared" si="132"/>
        <v>0.77549713878524351</v>
      </c>
    </row>
    <row r="21" spans="1:220" s="354" customFormat="1" ht="20.25">
      <c r="A21" s="330" t="s">
        <v>144</v>
      </c>
      <c r="B21" s="331">
        <v>0</v>
      </c>
      <c r="C21" s="332">
        <f t="shared" ref="C21:C22" ca="1" si="174">E21</f>
        <v>-4.9471095048703848</v>
      </c>
      <c r="D21" s="333">
        <f t="shared" ca="1" si="0"/>
        <v>-5.0826003964742066</v>
      </c>
      <c r="E21" s="334">
        <f t="shared" ca="1" si="1"/>
        <v>-4.9471095048703866</v>
      </c>
      <c r="F21" s="331">
        <v>48</v>
      </c>
      <c r="G21" s="331">
        <v>0.9</v>
      </c>
      <c r="H21" s="331">
        <v>15.2</v>
      </c>
      <c r="I21" s="331">
        <v>8.4</v>
      </c>
      <c r="J21" s="331">
        <v>0.1</v>
      </c>
      <c r="K21" s="331">
        <v>14.6</v>
      </c>
      <c r="L21" s="331">
        <v>10.6</v>
      </c>
      <c r="M21" s="331">
        <v>2.2000000000000002</v>
      </c>
      <c r="N21" s="331">
        <v>0</v>
      </c>
      <c r="O21" s="331"/>
      <c r="P21" s="331"/>
      <c r="Q21" s="331"/>
      <c r="R21" s="335">
        <f t="shared" ref="R21:R22" si="175">SUM(F21:P21)</f>
        <v>99.999999999999986</v>
      </c>
      <c r="S21" s="336">
        <f t="shared" ca="1" si="2"/>
        <v>1.8506285518432199</v>
      </c>
      <c r="T21" s="337">
        <f t="shared" ca="1" si="135"/>
        <v>0.34304810841474581</v>
      </c>
      <c r="U21" s="338">
        <f t="shared" ref="U21:U22" ca="1" si="176">AY21</f>
        <v>1439.0800902133544</v>
      </c>
      <c r="V21" s="338">
        <f t="shared" ref="V21:V22" ca="1" si="177">AZ21</f>
        <v>1417.2158622067536</v>
      </c>
      <c r="W21" s="339">
        <f t="shared" ca="1" si="4"/>
        <v>1425.4400356926715</v>
      </c>
      <c r="X21" s="340">
        <f t="shared" ca="1" si="5"/>
        <v>1526.4716684142763</v>
      </c>
      <c r="Y21" s="340">
        <f t="shared" ca="1" si="6"/>
        <v>1455.4337764672387</v>
      </c>
      <c r="Z21" s="341">
        <f t="shared" ca="1" si="7"/>
        <v>1485.2823321439405</v>
      </c>
      <c r="AA21" s="341">
        <f t="shared" ca="1" si="8"/>
        <v>1464.4785698471596</v>
      </c>
      <c r="AB21" s="341">
        <f t="shared" ca="1" si="136"/>
        <v>41.292975481835363</v>
      </c>
      <c r="AC21" s="342">
        <v>13.3</v>
      </c>
      <c r="AD21" s="343">
        <f t="shared" ca="1" si="9"/>
        <v>11.124613726595802</v>
      </c>
      <c r="AE21" s="344">
        <f t="shared" ca="1" si="10"/>
        <v>105.0110044764216</v>
      </c>
      <c r="AF21" s="344">
        <f t="shared" ca="1" si="11"/>
        <v>212.72352504746158</v>
      </c>
      <c r="AG21" s="345">
        <f t="shared" ca="1" si="12"/>
        <v>493.65017081675467</v>
      </c>
      <c r="AH21" s="345">
        <f t="shared" ca="1" si="13"/>
        <v>67.850235431071511</v>
      </c>
      <c r="AI21" s="332">
        <f t="shared" si="14"/>
        <v>0.30811878890182731</v>
      </c>
      <c r="AJ21" s="332">
        <f t="shared" ca="1" si="15"/>
        <v>1.8506285518432199</v>
      </c>
      <c r="AK21" s="332">
        <f t="shared" ca="1" si="16"/>
        <v>0.27907804055762447</v>
      </c>
      <c r="AL21" s="346">
        <f t="shared" ca="1" si="17"/>
        <v>0.27568072054136139</v>
      </c>
      <c r="AM21" s="332">
        <f t="shared" ca="1" si="18"/>
        <v>0.34304810841474576</v>
      </c>
      <c r="AN21" s="332">
        <f t="shared" ca="1" si="19"/>
        <v>0.34304810841474559</v>
      </c>
      <c r="AO21" s="347">
        <f t="shared" ref="AO21:AO22" ca="1" si="178">FY21</f>
        <v>41.197248396814246</v>
      </c>
      <c r="AP21" s="347">
        <f t="shared" ref="AP21:AP22" ca="1" si="179">FZ21</f>
        <v>8.0499446138766295</v>
      </c>
      <c r="AQ21" s="347">
        <f t="shared" ref="AQ21:AQ22" ca="1" si="180">GA21</f>
        <v>50.752806989309114</v>
      </c>
      <c r="AR21" s="348"/>
      <c r="AS21" s="53">
        <f t="shared" ca="1" si="138"/>
        <v>79.407179248582693</v>
      </c>
      <c r="AT21" s="335">
        <f t="shared" ca="1" si="139"/>
        <v>91.830455587428361</v>
      </c>
      <c r="AU21" s="349">
        <f t="shared" ca="1" si="23"/>
        <v>0.34304810841474559</v>
      </c>
      <c r="AV21" s="335">
        <f t="shared" ref="AV21:AV22" si="181">(0.666-(-0.049*CK21+0.027*CJ21))/(1*CL21+0.259*CK21+0.299*CJ21)</f>
        <v>3.0893103275909586</v>
      </c>
      <c r="AW21" s="335">
        <f t="shared" ca="1" si="25"/>
        <v>3.1244684173159505</v>
      </c>
      <c r="AX21" s="350">
        <f t="shared" ref="AX21:AX22" ca="1" si="182">(DE21/DF21)-273.15</f>
        <v>1440.258477096244</v>
      </c>
      <c r="AY21" s="350">
        <f t="shared" ref="AY21:AY22" ca="1" si="183">(DK21-273.15)+54*DL21+2*DL21^2</f>
        <v>1439.0800902133549</v>
      </c>
      <c r="AZ21" s="350">
        <f t="shared" ca="1" si="28"/>
        <v>1417.2158622067539</v>
      </c>
      <c r="BA21" s="350"/>
      <c r="BB21" s="349">
        <f t="shared" ref="BB21:BB27" ca="1" si="184">AVERAGE(BD21:BF21,BI21)</f>
        <v>0.13744598795299004</v>
      </c>
      <c r="BC21" s="349">
        <f t="shared" ref="BC21:BC22" ca="1" si="185">STDEV(BE21,BI21)</f>
        <v>4.4770665228850155E-2</v>
      </c>
      <c r="BD21" s="335">
        <f t="shared" si="29"/>
        <v>9.317999999999993E-2</v>
      </c>
      <c r="BE21" s="335">
        <f t="shared" ca="1" si="30"/>
        <v>0.19853057384997486</v>
      </c>
      <c r="BF21" s="335">
        <f t="shared" ca="1" si="31"/>
        <v>0.12285808607511836</v>
      </c>
      <c r="BG21" s="351"/>
      <c r="BH21" s="335">
        <f t="shared" ca="1" si="32"/>
        <v>9.8699817460139838E-2</v>
      </c>
      <c r="BI21" s="335">
        <f t="shared" ca="1" si="33"/>
        <v>0.13521529188686873</v>
      </c>
      <c r="BJ21" s="351"/>
      <c r="BK21" s="344">
        <f t="shared" ca="1" si="142"/>
        <v>0.17324884499733223</v>
      </c>
      <c r="BL21" s="344">
        <f t="shared" si="34"/>
        <v>0.14081987628279882</v>
      </c>
      <c r="BM21" s="344">
        <f t="shared" si="143"/>
        <v>0.22053300304457596</v>
      </c>
      <c r="BN21" s="344">
        <f t="shared" si="35"/>
        <v>0.21877911970740896</v>
      </c>
      <c r="BO21" s="344">
        <f t="shared" si="36"/>
        <v>0.16551753567410954</v>
      </c>
      <c r="BP21" s="344">
        <f t="shared" si="37"/>
        <v>0.21970276554138901</v>
      </c>
      <c r="BQ21" s="352">
        <f t="shared" si="38"/>
        <v>1342.1343999999999</v>
      </c>
      <c r="BR21" s="353">
        <f t="shared" si="39"/>
        <v>2.5240602243418402</v>
      </c>
      <c r="BS21" s="352">
        <f t="shared" si="144"/>
        <v>1468.0043922916941</v>
      </c>
      <c r="BU21" s="348">
        <f t="shared" si="40"/>
        <v>0.79893475366178435</v>
      </c>
      <c r="BV21" s="348">
        <f t="shared" si="41"/>
        <v>1.1264080100125156E-2</v>
      </c>
      <c r="BW21" s="348">
        <f t="shared" si="42"/>
        <v>0.29815613966261278</v>
      </c>
      <c r="BX21" s="348">
        <f t="shared" si="43"/>
        <v>0.11691022964509395</v>
      </c>
      <c r="BY21" s="348">
        <f t="shared" si="44"/>
        <v>1.4096419509444602E-3</v>
      </c>
      <c r="BZ21" s="348">
        <f t="shared" si="45"/>
        <v>0.3622828784119107</v>
      </c>
      <c r="CA21" s="348">
        <f t="shared" si="46"/>
        <v>0.18901569186875891</v>
      </c>
      <c r="CB21" s="348">
        <f t="shared" si="47"/>
        <v>7.0990642142626667E-2</v>
      </c>
      <c r="CC21" s="348">
        <f t="shared" si="48"/>
        <v>0</v>
      </c>
      <c r="CD21" s="348">
        <f t="shared" si="49"/>
        <v>0</v>
      </c>
      <c r="CE21" s="348">
        <f t="shared" si="50"/>
        <v>0</v>
      </c>
      <c r="CF21" s="348">
        <f t="shared" ref="CF21:CF22" si="186">SUM(BU21:CE21)</f>
        <v>1.8489640574438568</v>
      </c>
      <c r="CG21" s="348">
        <f t="shared" ref="CG21:CG22" si="187">BU21/$CF21</f>
        <v>0.43209858539180596</v>
      </c>
      <c r="CH21" s="348">
        <f t="shared" ref="CH21:CH22" si="188">BV21/$CF21</f>
        <v>6.0921033347167627E-3</v>
      </c>
      <c r="CI21" s="348">
        <f t="shared" ref="CI21:CI22" si="189">BW21/$CF21</f>
        <v>0.16125577912791103</v>
      </c>
      <c r="CJ21" s="348">
        <f t="shared" ref="CJ21:CJ22" si="190">BX21/$CF21</f>
        <v>6.3230125634091125E-2</v>
      </c>
      <c r="CK21" s="348">
        <f t="shared" ref="CK21:CK22" si="191">BY21/$CF21</f>
        <v>7.6239553996157851E-4</v>
      </c>
      <c r="CL21" s="348">
        <f t="shared" ref="CL21:CL22" si="192">BZ21/$CF21</f>
        <v>0.19593830229061188</v>
      </c>
      <c r="CM21" s="348">
        <f t="shared" ref="CM21:CM22" si="193">CA21/$CF21</f>
        <v>0.10222788869680248</v>
      </c>
      <c r="CN21" s="348">
        <f t="shared" ref="CN21:CN22" si="194">CB21/$CF21</f>
        <v>3.8394819984099271E-2</v>
      </c>
      <c r="CO21" s="348">
        <f t="shared" ref="CO21:CO22" si="195">CC21/$CF21</f>
        <v>0</v>
      </c>
      <c r="CP21" s="348">
        <f t="shared" ref="CP21:CP22" si="196">CD21/CF21</f>
        <v>0</v>
      </c>
      <c r="CQ21" s="348">
        <f t="shared" ref="CQ21:CQ22" si="197">CE21/CF21</f>
        <v>0</v>
      </c>
      <c r="CR21" s="348"/>
      <c r="CS21" s="348">
        <f t="shared" ca="1" si="55"/>
        <v>0.68570653123858605</v>
      </c>
      <c r="CT21" s="348">
        <f t="shared" ca="1" si="56"/>
        <v>0.11203819921888142</v>
      </c>
      <c r="CU21" s="348">
        <f t="shared" ca="1" si="57"/>
        <v>1.2593748632582908</v>
      </c>
      <c r="CV21" s="348">
        <f t="shared" ca="1" si="58"/>
        <v>2.0571195937157585</v>
      </c>
      <c r="CW21" s="348">
        <f t="shared" ca="1" si="59"/>
        <v>0.33333333333333326</v>
      </c>
      <c r="CX21" s="348">
        <f t="shared" ca="1" si="60"/>
        <v>5.4463629417144256E-2</v>
      </c>
      <c r="CY21" s="348">
        <f t="shared" ca="1" si="61"/>
        <v>0.61220303724952241</v>
      </c>
      <c r="CZ21" s="348">
        <f t="shared" si="62"/>
        <v>0.36215871216146711</v>
      </c>
      <c r="DA21" s="348">
        <f t="shared" si="63"/>
        <v>0.43209858539180596</v>
      </c>
      <c r="DB21" s="348">
        <f t="shared" si="64"/>
        <v>-0.65824833446997622</v>
      </c>
      <c r="DC21" s="348"/>
      <c r="DD21" s="348">
        <f t="shared" ref="DD21:DD22" ca="1" si="198">(DE21/DF21)-273.15</f>
        <v>1440.258477096244</v>
      </c>
      <c r="DE21" s="348">
        <f t="shared" ref="DE21:DE22" ca="1" si="199">113.1*1000/8.3144+(DL21*10^9-10^5)*4.11*(10^-6)/8.3144</f>
        <v>14517.664816231558</v>
      </c>
      <c r="DF21" s="348">
        <f t="shared" si="67"/>
        <v>8.4729736138781124</v>
      </c>
      <c r="DG21" s="348">
        <f t="shared" ref="DG21:DG22" si="200">DI21/DJ21</f>
        <v>1605.446496340026</v>
      </c>
      <c r="DH21" s="348">
        <f t="shared" ref="DH21:DH22" si="201">DG21-273.15</f>
        <v>1332.2964963400259</v>
      </c>
      <c r="DI21" s="348">
        <f t="shared" si="145"/>
        <v>13602.905801982104</v>
      </c>
      <c r="DJ21" s="348">
        <f t="shared" si="70"/>
        <v>8.4729736138781124</v>
      </c>
      <c r="DK21" s="348">
        <f t="shared" ref="DK21:DK22" si="202">DI21/DJ21</f>
        <v>1605.446496340026</v>
      </c>
      <c r="DL21" s="348">
        <f t="shared" ca="1" si="72"/>
        <v>1.8506285518432199</v>
      </c>
      <c r="DM21" s="348">
        <f t="shared" si="73"/>
        <v>-0.65824833446997622</v>
      </c>
      <c r="DN21" s="348">
        <f t="shared" si="74"/>
        <v>0.36215871216146711</v>
      </c>
      <c r="DO21" s="348">
        <f t="shared" si="75"/>
        <v>0.43209858539180596</v>
      </c>
      <c r="DP21" s="348">
        <f t="shared" si="76"/>
        <v>3.0893103275909586</v>
      </c>
      <c r="DQ21" s="348">
        <f t="shared" ca="1" si="77"/>
        <v>14517.765693176099</v>
      </c>
      <c r="DR21" s="348">
        <f t="shared" ref="DR21:DR22" si="203">6.26+2*LN(DP21)+2*LN(1.5*DN21)+2*LN(3*DO21)-DM21</f>
        <v>8.472750386705977</v>
      </c>
      <c r="DS21" s="348">
        <f t="shared" ref="DS21:DS22" ca="1" si="204">(DQ21/DR21)-273.15</f>
        <v>1440.3155254278408</v>
      </c>
      <c r="DT21" s="348">
        <f t="shared" ref="DT21:DT22" si="205">(13603+4.943*10^-7*(0.0001*10^9-10^-5))/(6.26+2*LN(DP21)+2*LN(1.5*DN21)+2*LN(3*DO21)-DM21)-273.15</f>
        <v>1332.3557459669323</v>
      </c>
      <c r="DU21" s="348">
        <f t="shared" ref="DU21:DU22" ca="1" si="206">DT21+54*DL21-2*DL21^2</f>
        <v>1425.4400356926715</v>
      </c>
      <c r="DV21" s="355">
        <f t="shared" ca="1" si="82"/>
        <v>3.1244684173159505</v>
      </c>
      <c r="DW21" s="348">
        <f t="shared" ca="1" si="83"/>
        <v>3.1847341622597241</v>
      </c>
      <c r="DX21" s="348">
        <f t="shared" ref="DX21:DX22" ca="1" si="207">55.09*DL21+4430</f>
        <v>4531.9511269210434</v>
      </c>
      <c r="DY21" s="348">
        <f t="shared" ref="DY21:DY22" ca="1" si="208">DX21/DW21</f>
        <v>1423.0233658514856</v>
      </c>
      <c r="DZ21" s="348">
        <f t="shared" ca="1" si="85"/>
        <v>4.7531849882292594</v>
      </c>
      <c r="EA21" s="348"/>
      <c r="EB21" s="348">
        <f t="shared" si="86"/>
        <v>0.79893475366178435</v>
      </c>
      <c r="EC21" s="348">
        <f t="shared" si="87"/>
        <v>1.1264080100125156E-2</v>
      </c>
      <c r="ED21" s="348">
        <f t="shared" si="88"/>
        <v>0.14907806983130639</v>
      </c>
      <c r="EE21" s="348">
        <f t="shared" si="89"/>
        <v>0.11691022964509395</v>
      </c>
      <c r="EF21" s="348">
        <f t="shared" si="90"/>
        <v>1.4096419509444602E-3</v>
      </c>
      <c r="EG21" s="348">
        <f t="shared" si="91"/>
        <v>0.3622828784119107</v>
      </c>
      <c r="EH21" s="348">
        <f t="shared" si="92"/>
        <v>0.18901569186875891</v>
      </c>
      <c r="EI21" s="348">
        <f t="shared" si="93"/>
        <v>3.5495321071313334E-2</v>
      </c>
      <c r="EJ21" s="348">
        <f t="shared" si="94"/>
        <v>0</v>
      </c>
      <c r="EK21" s="348">
        <f t="shared" si="95"/>
        <v>0</v>
      </c>
      <c r="EL21" s="348">
        <f t="shared" si="96"/>
        <v>0</v>
      </c>
      <c r="EM21" s="348">
        <f t="shared" ref="EM21:EM22" si="209">SUM(EB21:EL21)</f>
        <v>1.6643906665412371</v>
      </c>
      <c r="EN21" s="348">
        <f t="shared" ref="EN21:EN22" si="210">EB21/$EM21</f>
        <v>0.48001636257793195</v>
      </c>
      <c r="EO21" s="348">
        <f t="shared" ref="EO21:EO22" si="211">EC21/$EM21</f>
        <v>6.7676900180730949E-3</v>
      </c>
      <c r="EP21" s="348">
        <f t="shared" ref="EP21:EP22" si="212">ED21/$EM21</f>
        <v>8.9569157547070885E-2</v>
      </c>
      <c r="EQ21" s="348">
        <f t="shared" ref="EQ21:EQ22" si="213">EE21/$EM21</f>
        <v>7.0242060349956531E-2</v>
      </c>
      <c r="ER21" s="348">
        <f t="shared" ref="ER21:ER22" si="214">EF21/$EM21</f>
        <v>8.4694175429007358E-4</v>
      </c>
      <c r="ES21" s="348">
        <f t="shared" ref="ES21:ES22" si="215">EG21/$EM21</f>
        <v>0.21766697308196828</v>
      </c>
      <c r="ET21" s="348">
        <f t="shared" ref="ET21:ET22" si="216">EH21/$EM21</f>
        <v>0.11356449880937604</v>
      </c>
      <c r="EU21" s="348">
        <f t="shared" ref="EU21:EU22" si="217">EI21/$EM21</f>
        <v>2.1326315861333208E-2</v>
      </c>
      <c r="EV21" s="348">
        <f t="shared" ref="EV21:EV22" si="218">EJ21/$EM21</f>
        <v>0</v>
      </c>
      <c r="EW21" s="348">
        <f t="shared" ref="EW21:EW22" si="219">EK21/$EM21</f>
        <v>0</v>
      </c>
      <c r="EX21" s="348">
        <f t="shared" ref="EX21:EX22" si="220">EL21/$EM21</f>
        <v>0</v>
      </c>
      <c r="EY21" s="348">
        <f t="shared" ref="EY21:EY22" si="221">SUM(EN21:EX21)</f>
        <v>1</v>
      </c>
      <c r="EZ21" s="348">
        <f t="shared" si="100"/>
        <v>0.16125577912791103</v>
      </c>
      <c r="FA21" s="348">
        <f t="shared" si="101"/>
        <v>0.59944646785443378</v>
      </c>
      <c r="FB21" s="348">
        <f t="shared" si="102"/>
        <v>1.4996211682984284</v>
      </c>
      <c r="FC21" s="348">
        <f t="shared" ref="FC21:FC22" si="222">(2*FB21-4*FA21)</f>
        <v>0.60145646517912166</v>
      </c>
      <c r="FD21" s="348">
        <f t="shared" ref="FD21:FD22" si="223">FC21/FA21</f>
        <v>1.0033530889453435</v>
      </c>
      <c r="FE21" s="348">
        <f t="shared" ca="1" si="105"/>
        <v>0.1221837126315784</v>
      </c>
      <c r="FF21" s="348">
        <f t="shared" ref="FF21:FF22" ca="1" si="224">EQ21*FE21/(1+2*FE21)</f>
        <v>6.8970269891419555E-3</v>
      </c>
      <c r="FG21" s="348">
        <f t="shared" ref="FG21:FG22" ca="1" si="225">EQ21-2*FF21</f>
        <v>5.6448006371672618E-2</v>
      </c>
      <c r="FH21" s="348">
        <f t="shared" ref="FH21:FH22" ca="1" si="226">FG21/ES21</f>
        <v>0.25933197660820884</v>
      </c>
      <c r="FI21" s="348">
        <f t="shared" ca="1" si="147"/>
        <v>8.8963344026903132E-2</v>
      </c>
      <c r="FJ21" s="348">
        <f t="shared" ref="FJ21:FJ22" ca="1" si="227">FI21/FH21</f>
        <v>0.34304810841474576</v>
      </c>
      <c r="FK21" s="348">
        <f t="shared" ref="FK21:FK22" ca="1" si="228">FQ21/FP21</f>
        <v>8.8963344026903132E-2</v>
      </c>
      <c r="FL21" s="348">
        <f t="shared" ca="1" si="109"/>
        <v>8.8963344026903132E-2</v>
      </c>
      <c r="FM21" s="348"/>
      <c r="FN21" s="348"/>
      <c r="FO21" s="348"/>
      <c r="FP21" s="348">
        <f t="shared" ref="FP21:FP22" ca="1" si="229">2/(1+FL21)</f>
        <v>1.8366091117485672</v>
      </c>
      <c r="FQ21" s="348">
        <f t="shared" ref="FQ21:FQ22" ca="1" si="230">2-FP21</f>
        <v>0.16339088825143278</v>
      </c>
      <c r="FR21" s="348">
        <f t="shared" si="151"/>
        <v>0.33333333333333331</v>
      </c>
      <c r="FS21" s="348">
        <f t="shared" ref="FS21:FS22" ca="1" si="231">FQ21/3</f>
        <v>5.4463629417144256E-2</v>
      </c>
      <c r="FT21" s="348">
        <f t="shared" ref="FT21:FT22" ca="1" si="232">FP21/3</f>
        <v>0.61220303724952241</v>
      </c>
      <c r="FU21" s="348">
        <f t="shared" ref="FU21:FU22" si="233">60.08*FR21</f>
        <v>20.026666666666664</v>
      </c>
      <c r="FV21" s="348">
        <f t="shared" ref="FV21:FV22" ca="1" si="234">71.85*FS21</f>
        <v>3.9132117736218146</v>
      </c>
      <c r="FW21" s="348">
        <f t="shared" ref="FW21:FW22" ca="1" si="235">40.3*FT21</f>
        <v>24.671782401155752</v>
      </c>
      <c r="FX21" s="348">
        <f t="shared" ref="FX21:FX22" ca="1" si="236">SUM(FU21:FW21)</f>
        <v>48.611660841444234</v>
      </c>
      <c r="FY21" s="348">
        <f t="shared" ref="FY21:FY22" ca="1" si="237">100*FU21/$FX21</f>
        <v>41.197248396814246</v>
      </c>
      <c r="FZ21" s="348">
        <f t="shared" ref="FZ21:FZ22" ca="1" si="238">100*FV21/$FX21</f>
        <v>8.0499446138766295</v>
      </c>
      <c r="GA21" s="348">
        <f t="shared" ref="GA21:GA22" ca="1" si="239">100*FW21/$FX21</f>
        <v>50.752806989309114</v>
      </c>
      <c r="GB21" s="348">
        <f t="shared" ref="GB21:GB22" ca="1" si="240">100*GA21/40.3/(GA21/40.3+FZ21/71.85)</f>
        <v>91.830455587428347</v>
      </c>
      <c r="GC21" s="348">
        <f t="shared" ca="1" si="119"/>
        <v>1850628551.84322</v>
      </c>
      <c r="GD21" s="345">
        <f t="shared" si="152"/>
        <v>38</v>
      </c>
      <c r="GE21" s="351">
        <f t="shared" ca="1" si="153"/>
        <v>1349.0021163752647</v>
      </c>
      <c r="GF21" s="351">
        <f t="shared" ca="1" si="120"/>
        <v>1348.4682224476398</v>
      </c>
      <c r="GG21" s="351">
        <f t="shared" ca="1" si="121"/>
        <v>1759.8836405057566</v>
      </c>
      <c r="GH21" s="345">
        <f t="shared" ca="1" si="122"/>
        <v>0.22024421980440873</v>
      </c>
      <c r="GI21" s="345">
        <f t="shared" ca="1" si="123"/>
        <v>1.6361101773433475</v>
      </c>
      <c r="GJ21" s="345">
        <f t="shared" ca="1" si="124"/>
        <v>-2.4154404683456785</v>
      </c>
      <c r="GK21" s="345">
        <f t="shared" ca="1" si="125"/>
        <v>1.7864796624504873</v>
      </c>
      <c r="GL21" s="345">
        <f t="shared" ca="1" si="154"/>
        <v>-0.22024421980440873</v>
      </c>
      <c r="GM21" s="351">
        <f t="shared" ca="1" si="155"/>
        <v>0.45068905048573854</v>
      </c>
      <c r="GN21" s="351">
        <f t="shared" ca="1" si="156"/>
        <v>9.15442394645129E-2</v>
      </c>
      <c r="GO21" s="351">
        <f t="shared" ca="1" si="157"/>
        <v>-0.20637708836424079</v>
      </c>
      <c r="GP21" s="351">
        <f t="shared" ca="1" si="158"/>
        <v>-6.1641961124344134E-2</v>
      </c>
      <c r="GQ21" s="351">
        <f t="shared" ca="1" si="159"/>
        <v>0.30527638829449266</v>
      </c>
      <c r="GR21" s="351">
        <f t="shared" ca="1" si="160"/>
        <v>0.20312062022773658</v>
      </c>
      <c r="GS21" s="351">
        <f t="shared" ca="1" si="161"/>
        <v>-5.3190887775383756E-2</v>
      </c>
      <c r="GT21" s="351">
        <f t="shared" ca="1" si="162"/>
        <v>1.066077261368429E-3</v>
      </c>
      <c r="GU21" s="351">
        <f t="shared" ca="1" si="163"/>
        <v>0.20970354021378931</v>
      </c>
      <c r="GV21" s="351">
        <f t="shared" ca="1" si="164"/>
        <v>-0.48714374570219438</v>
      </c>
      <c r="GW21" s="351">
        <f t="shared" ca="1" si="165"/>
        <v>0.17324884499733345</v>
      </c>
      <c r="GY21" s="356">
        <f t="shared" si="166"/>
        <v>0.13186869405839788</v>
      </c>
      <c r="GZ21" s="345">
        <f t="shared" si="167"/>
        <v>9.6336847565143977E-2</v>
      </c>
      <c r="HA21" s="345">
        <f t="shared" si="168"/>
        <v>5.652810041322541E-2</v>
      </c>
      <c r="HB21" s="345">
        <f t="shared" si="169"/>
        <v>0.28473364203676726</v>
      </c>
      <c r="HC21" s="345">
        <f t="shared" si="170"/>
        <v>0.46313000850587882</v>
      </c>
      <c r="HD21" s="345">
        <f t="shared" si="171"/>
        <v>0.33834023572354732</v>
      </c>
      <c r="HE21" s="345">
        <f t="shared" si="172"/>
        <v>0.19852975577057386</v>
      </c>
      <c r="HF21" s="345">
        <f t="shared" si="127"/>
        <v>-1.3407898888462251</v>
      </c>
      <c r="HG21" s="345">
        <f t="shared" si="128"/>
        <v>-1.3354032650504271</v>
      </c>
      <c r="HH21" s="345">
        <f t="shared" si="173"/>
        <v>-1.3380965769483262</v>
      </c>
      <c r="HI21" s="345">
        <f t="shared" si="129"/>
        <v>2.3563028538616502</v>
      </c>
      <c r="HJ21" s="345">
        <f t="shared" si="130"/>
        <v>0.19096682016535577</v>
      </c>
      <c r="HK21" s="345">
        <f t="shared" si="131"/>
        <v>0.33209161193469694</v>
      </c>
      <c r="HL21" s="345">
        <f t="shared" si="132"/>
        <v>0.9547619047619047</v>
      </c>
    </row>
    <row r="22" spans="1:220" s="354" customFormat="1" ht="20.25">
      <c r="A22" s="330" t="s">
        <v>145</v>
      </c>
      <c r="B22" s="331">
        <v>0</v>
      </c>
      <c r="C22" s="332">
        <f t="shared" ca="1" si="174"/>
        <v>-5.4872451785581449</v>
      </c>
      <c r="D22" s="333">
        <f t="shared" ca="1" si="0"/>
        <v>-5.7119863473985921</v>
      </c>
      <c r="E22" s="334">
        <f t="shared" ca="1" si="1"/>
        <v>-5.4872451785581449</v>
      </c>
      <c r="F22" s="331">
        <v>48.4</v>
      </c>
      <c r="G22" s="331">
        <v>0.8</v>
      </c>
      <c r="H22" s="331">
        <v>16.3</v>
      </c>
      <c r="I22" s="331">
        <v>7.9</v>
      </c>
      <c r="J22" s="331">
        <v>0.1</v>
      </c>
      <c r="K22" s="331">
        <v>12.9</v>
      </c>
      <c r="L22" s="331">
        <v>11.3</v>
      </c>
      <c r="M22" s="331">
        <v>2.2000000000000002</v>
      </c>
      <c r="N22" s="331">
        <v>0</v>
      </c>
      <c r="O22" s="331"/>
      <c r="P22" s="331"/>
      <c r="Q22" s="331"/>
      <c r="R22" s="335">
        <f t="shared" si="175"/>
        <v>99.9</v>
      </c>
      <c r="S22" s="336">
        <f t="shared" ca="1" si="2"/>
        <v>1.545106776820599</v>
      </c>
      <c r="T22" s="337">
        <f t="shared" ca="1" si="135"/>
        <v>0.34160393421456475</v>
      </c>
      <c r="U22" s="338">
        <f t="shared" ca="1" si="176"/>
        <v>1383.6397081053597</v>
      </c>
      <c r="V22" s="338">
        <f t="shared" ca="1" si="177"/>
        <v>1366.9104486302699</v>
      </c>
      <c r="W22" s="339">
        <f t="shared" ca="1" si="4"/>
        <v>1374.1472282725895</v>
      </c>
      <c r="X22" s="340">
        <f t="shared" ca="1" si="5"/>
        <v>1435.8213857561423</v>
      </c>
      <c r="Y22" s="340">
        <f t="shared" ca="1" si="6"/>
        <v>1387.0742704048721</v>
      </c>
      <c r="Z22" s="341">
        <f t="shared" ca="1" si="7"/>
        <v>1411.6919336652879</v>
      </c>
      <c r="AA22" s="341">
        <f t="shared" ca="1" si="8"/>
        <v>1396.0952167578282</v>
      </c>
      <c r="AB22" s="341">
        <f t="shared" ca="1" si="136"/>
        <v>28.936961737043571</v>
      </c>
      <c r="AC22" s="342">
        <v>13.3</v>
      </c>
      <c r="AD22" s="343">
        <f t="shared" ca="1" si="9"/>
        <v>10.75055711473815</v>
      </c>
      <c r="AE22" s="344">
        <f t="shared" ca="1" si="10"/>
        <v>100.35240120565808</v>
      </c>
      <c r="AF22" s="344">
        <f t="shared" ca="1" si="11"/>
        <v>212.31151490686429</v>
      </c>
      <c r="AG22" s="345">
        <f t="shared" ca="1" si="12"/>
        <v>472.66584315824866</v>
      </c>
      <c r="AH22" s="345">
        <f t="shared" ca="1" si="13"/>
        <v>45.79552678013723</v>
      </c>
      <c r="AI22" s="332">
        <f t="shared" si="14"/>
        <v>0.28573551861900354</v>
      </c>
      <c r="AJ22" s="332">
        <f t="shared" ca="1" si="15"/>
        <v>1.545106776820599</v>
      </c>
      <c r="AK22" s="332">
        <f t="shared" ca="1" si="16"/>
        <v>0.27995450303821212</v>
      </c>
      <c r="AL22" s="346">
        <f t="shared" ca="1" si="17"/>
        <v>0.276020894082875</v>
      </c>
      <c r="AM22" s="332">
        <f t="shared" ca="1" si="18"/>
        <v>0.34160393421456475</v>
      </c>
      <c r="AN22" s="332">
        <f t="shared" ca="1" si="19"/>
        <v>0.34160393421456481</v>
      </c>
      <c r="AO22" s="347">
        <f t="shared" ca="1" si="178"/>
        <v>41.110006194834696</v>
      </c>
      <c r="AP22" s="347">
        <f t="shared" ca="1" si="179"/>
        <v>8.5151625637504811</v>
      </c>
      <c r="AQ22" s="347">
        <f t="shared" ca="1" si="180"/>
        <v>50.374831241414824</v>
      </c>
      <c r="AR22" s="348"/>
      <c r="AS22" s="53">
        <f t="shared" ca="1" si="138"/>
        <v>78.275076731389063</v>
      </c>
      <c r="AT22" s="335">
        <f t="shared" ca="1" si="139"/>
        <v>91.339986736555943</v>
      </c>
      <c r="AU22" s="349">
        <f t="shared" ca="1" si="23"/>
        <v>0.34160393421456481</v>
      </c>
      <c r="AV22" s="335">
        <f t="shared" si="181"/>
        <v>3.4586128006167489</v>
      </c>
      <c r="AW22" s="335">
        <f t="shared" ca="1" si="25"/>
        <v>3.4989240569082924</v>
      </c>
      <c r="AX22" s="350">
        <f t="shared" ca="1" si="182"/>
        <v>1383.4968130233087</v>
      </c>
      <c r="AY22" s="350">
        <f t="shared" ca="1" si="183"/>
        <v>1383.6397081053597</v>
      </c>
      <c r="AZ22" s="350">
        <f t="shared" ca="1" si="28"/>
        <v>1366.9104486302699</v>
      </c>
      <c r="BA22" s="350"/>
      <c r="BB22" s="349">
        <f t="shared" ca="1" si="184"/>
        <v>9.6887743091698023E-2</v>
      </c>
      <c r="BC22" s="349">
        <f t="shared" ca="1" si="185"/>
        <v>2.6256068308363752E-2</v>
      </c>
      <c r="BD22" s="335">
        <f t="shared" si="29"/>
        <v>6.4909999999999968E-2</v>
      </c>
      <c r="BE22" s="335">
        <f t="shared" ca="1" si="30"/>
        <v>0.13267218931868049</v>
      </c>
      <c r="BF22" s="335">
        <f t="shared" ca="1" si="31"/>
        <v>9.4428281625713636E-2</v>
      </c>
      <c r="BG22" s="351"/>
      <c r="BH22" s="335">
        <f t="shared" ca="1" si="32"/>
        <v>6.0379270215506368E-2</v>
      </c>
      <c r="BI22" s="335">
        <f t="shared" ca="1" si="33"/>
        <v>9.5540501422398019E-2</v>
      </c>
      <c r="BJ22" s="351"/>
      <c r="BK22" s="344">
        <f t="shared" ca="1" si="142"/>
        <v>0.11278034558657729</v>
      </c>
      <c r="BL22" s="344">
        <f t="shared" si="34"/>
        <v>7.3834145579196667E-2</v>
      </c>
      <c r="BM22" s="344">
        <f t="shared" si="143"/>
        <v>9.6252654447187197E-2</v>
      </c>
      <c r="BN22" s="344">
        <f t="shared" si="35"/>
        <v>0.17732417417036331</v>
      </c>
      <c r="BO22" s="344">
        <f t="shared" si="36"/>
        <v>0.13814612512949515</v>
      </c>
      <c r="BP22" s="344">
        <f t="shared" si="37"/>
        <v>0.22910904570798873</v>
      </c>
      <c r="BQ22" s="352">
        <f t="shared" si="38"/>
        <v>1308.1343999999999</v>
      </c>
      <c r="BR22" s="353">
        <f t="shared" si="39"/>
        <v>2.0859863190352521</v>
      </c>
      <c r="BS22" s="352">
        <f t="shared" si="144"/>
        <v>1414.2029128940335</v>
      </c>
      <c r="BU22" s="348">
        <f t="shared" si="40"/>
        <v>0.80559254327563246</v>
      </c>
      <c r="BV22" s="348">
        <f t="shared" si="41"/>
        <v>1.0012515644555695E-2</v>
      </c>
      <c r="BW22" s="348">
        <f t="shared" si="42"/>
        <v>0.31973322871714399</v>
      </c>
      <c r="BX22" s="348">
        <f t="shared" si="43"/>
        <v>0.10995128740431456</v>
      </c>
      <c r="BY22" s="348">
        <f t="shared" si="44"/>
        <v>1.4096419509444602E-3</v>
      </c>
      <c r="BZ22" s="348">
        <f t="shared" si="45"/>
        <v>0.32009925558312657</v>
      </c>
      <c r="CA22" s="348">
        <f t="shared" si="46"/>
        <v>0.20149786019971472</v>
      </c>
      <c r="CB22" s="348">
        <f t="shared" si="47"/>
        <v>7.0990642142626667E-2</v>
      </c>
      <c r="CC22" s="348">
        <f t="shared" si="48"/>
        <v>0</v>
      </c>
      <c r="CD22" s="348">
        <f t="shared" si="49"/>
        <v>0</v>
      </c>
      <c r="CE22" s="348">
        <f t="shared" si="50"/>
        <v>0</v>
      </c>
      <c r="CF22" s="348">
        <f t="shared" si="186"/>
        <v>1.8392869749180591</v>
      </c>
      <c r="CG22" s="348">
        <f t="shared" si="187"/>
        <v>0.43799176216725066</v>
      </c>
      <c r="CH22" s="348">
        <f t="shared" si="188"/>
        <v>5.4436940950999537E-3</v>
      </c>
      <c r="CI22" s="348">
        <f t="shared" si="189"/>
        <v>0.17383542268132912</v>
      </c>
      <c r="CJ22" s="348">
        <f t="shared" si="190"/>
        <v>5.9779299752401566E-2</v>
      </c>
      <c r="CK22" s="348">
        <f t="shared" si="191"/>
        <v>7.6640674901058345E-4</v>
      </c>
      <c r="CL22" s="348">
        <f t="shared" si="192"/>
        <v>0.17403442744294273</v>
      </c>
      <c r="CM22" s="348">
        <f t="shared" si="193"/>
        <v>0.10955215958547823</v>
      </c>
      <c r="CN22" s="348">
        <f t="shared" si="194"/>
        <v>3.8596827526487174E-2</v>
      </c>
      <c r="CO22" s="348">
        <f t="shared" si="195"/>
        <v>0</v>
      </c>
      <c r="CP22" s="348">
        <f t="shared" si="196"/>
        <v>0</v>
      </c>
      <c r="CQ22" s="348">
        <f t="shared" si="197"/>
        <v>0</v>
      </c>
      <c r="CR22" s="348"/>
      <c r="CS22" s="348">
        <f t="shared" ca="1" si="55"/>
        <v>0.68425443067301428</v>
      </c>
      <c r="CT22" s="348">
        <f t="shared" ca="1" si="56"/>
        <v>0.11851304890397331</v>
      </c>
      <c r="CU22" s="348">
        <f t="shared" ca="1" si="57"/>
        <v>1.2499958124420554</v>
      </c>
      <c r="CV22" s="348">
        <f t="shared" ca="1" si="58"/>
        <v>2.0527632920190428</v>
      </c>
      <c r="CW22" s="348">
        <f t="shared" ca="1" si="59"/>
        <v>0.33333333333333331</v>
      </c>
      <c r="CX22" s="348">
        <f t="shared" ca="1" si="60"/>
        <v>5.7733421756293708E-2</v>
      </c>
      <c r="CY22" s="348">
        <f t="shared" ca="1" si="61"/>
        <v>0.60893324491037304</v>
      </c>
      <c r="CZ22" s="348">
        <f t="shared" si="62"/>
        <v>0.3441322935298331</v>
      </c>
      <c r="DA22" s="348">
        <f t="shared" si="63"/>
        <v>0.43799176216725066</v>
      </c>
      <c r="DB22" s="348">
        <f t="shared" si="64"/>
        <v>-0.70657443199364689</v>
      </c>
      <c r="DC22" s="348"/>
      <c r="DD22" s="348">
        <f t="shared" ca="1" si="198"/>
        <v>1383.4968130233087</v>
      </c>
      <c r="DE22" s="348">
        <f t="shared" ca="1" si="199"/>
        <v>14366.638344646959</v>
      </c>
      <c r="DF22" s="348">
        <f t="shared" si="67"/>
        <v>8.6721190248321349</v>
      </c>
      <c r="DG22" s="348">
        <f t="shared" si="200"/>
        <v>1568.5792322534935</v>
      </c>
      <c r="DH22" s="348">
        <f t="shared" si="201"/>
        <v>1295.4292322534934</v>
      </c>
      <c r="DI22" s="348">
        <f t="shared" si="145"/>
        <v>13602.905801982104</v>
      </c>
      <c r="DJ22" s="348">
        <f t="shared" si="70"/>
        <v>8.6721190248321349</v>
      </c>
      <c r="DK22" s="348">
        <f t="shared" si="202"/>
        <v>1568.5792322534935</v>
      </c>
      <c r="DL22" s="348">
        <f t="shared" ca="1" si="72"/>
        <v>1.545106776820599</v>
      </c>
      <c r="DM22" s="348">
        <f t="shared" si="73"/>
        <v>-0.70657443199364689</v>
      </c>
      <c r="DN22" s="348">
        <f t="shared" si="74"/>
        <v>0.3441322935298331</v>
      </c>
      <c r="DO22" s="348">
        <f t="shared" si="75"/>
        <v>0.43799176216725066</v>
      </c>
      <c r="DP22" s="348">
        <f t="shared" si="76"/>
        <v>3.4586128006167489</v>
      </c>
      <c r="DQ22" s="348">
        <f t="shared" ca="1" si="77"/>
        <v>14366.746279782417</v>
      </c>
      <c r="DR22" s="348">
        <f t="shared" si="203"/>
        <v>8.6718957976599995</v>
      </c>
      <c r="DS22" s="348">
        <f t="shared" ca="1" si="204"/>
        <v>1383.5519040587528</v>
      </c>
      <c r="DT22" s="348">
        <f t="shared" si="205"/>
        <v>1295.486172227831</v>
      </c>
      <c r="DU22" s="348">
        <f t="shared" ca="1" si="206"/>
        <v>1374.1472282725895</v>
      </c>
      <c r="DV22" s="355">
        <f t="shared" ca="1" si="82"/>
        <v>3.4989240569082924</v>
      </c>
      <c r="DW22" s="348">
        <f t="shared" ca="1" si="83"/>
        <v>3.2979255089226007</v>
      </c>
      <c r="DX22" s="348">
        <f t="shared" ca="1" si="207"/>
        <v>4515.1199323350465</v>
      </c>
      <c r="DY22" s="348">
        <f t="shared" ca="1" si="208"/>
        <v>1369.0788103367718</v>
      </c>
      <c r="DZ22" s="348">
        <f t="shared" ca="1" si="85"/>
        <v>5.2869054691753066</v>
      </c>
      <c r="EA22" s="348"/>
      <c r="EB22" s="348">
        <f t="shared" si="86"/>
        <v>0.80559254327563246</v>
      </c>
      <c r="EC22" s="348">
        <f t="shared" si="87"/>
        <v>1.0012515644555695E-2</v>
      </c>
      <c r="ED22" s="348">
        <f t="shared" si="88"/>
        <v>0.159866614358572</v>
      </c>
      <c r="EE22" s="348">
        <f t="shared" si="89"/>
        <v>0.10995128740431456</v>
      </c>
      <c r="EF22" s="348">
        <f t="shared" si="90"/>
        <v>1.4096419509444602E-3</v>
      </c>
      <c r="EG22" s="348">
        <f t="shared" si="91"/>
        <v>0.32009925558312657</v>
      </c>
      <c r="EH22" s="348">
        <f t="shared" si="92"/>
        <v>0.20149786019971472</v>
      </c>
      <c r="EI22" s="348">
        <f t="shared" si="93"/>
        <v>3.5495321071313334E-2</v>
      </c>
      <c r="EJ22" s="348">
        <f t="shared" si="94"/>
        <v>0</v>
      </c>
      <c r="EK22" s="348">
        <f t="shared" si="95"/>
        <v>0</v>
      </c>
      <c r="EL22" s="348">
        <f t="shared" si="96"/>
        <v>0</v>
      </c>
      <c r="EM22" s="348">
        <f t="shared" si="209"/>
        <v>1.6439250394881737</v>
      </c>
      <c r="EN22" s="348">
        <f t="shared" si="210"/>
        <v>0.49004213934623742</v>
      </c>
      <c r="EO22" s="348">
        <f t="shared" si="211"/>
        <v>6.090615693567775E-3</v>
      </c>
      <c r="EP22" s="348">
        <f t="shared" si="212"/>
        <v>9.7246900265200359E-2</v>
      </c>
      <c r="EQ22" s="348">
        <f t="shared" si="213"/>
        <v>6.6883394779695821E-2</v>
      </c>
      <c r="ER22" s="348">
        <f t="shared" si="214"/>
        <v>8.5748554044979078E-4</v>
      </c>
      <c r="ES22" s="348">
        <f t="shared" si="215"/>
        <v>0.19471645476170105</v>
      </c>
      <c r="ET22" s="348">
        <f t="shared" si="216"/>
        <v>0.12257119720157671</v>
      </c>
      <c r="EU22" s="348">
        <f t="shared" si="217"/>
        <v>2.1591812411571144E-2</v>
      </c>
      <c r="EV22" s="348">
        <f t="shared" si="218"/>
        <v>0</v>
      </c>
      <c r="EW22" s="348">
        <f t="shared" si="219"/>
        <v>0</v>
      </c>
      <c r="EX22" s="348">
        <f t="shared" si="220"/>
        <v>0</v>
      </c>
      <c r="EY22" s="348">
        <f t="shared" si="221"/>
        <v>1.0000000000000002</v>
      </c>
      <c r="EZ22" s="348">
        <f t="shared" si="100"/>
        <v>0.17383542268132912</v>
      </c>
      <c r="FA22" s="348">
        <f t="shared" si="101"/>
        <v>0.61727087894367971</v>
      </c>
      <c r="FB22" s="348">
        <f t="shared" si="102"/>
        <v>1.5110547538397716</v>
      </c>
      <c r="FC22" s="348">
        <f t="shared" si="222"/>
        <v>0.55302599190482438</v>
      </c>
      <c r="FD22" s="348">
        <f t="shared" si="223"/>
        <v>0.89592107901024587</v>
      </c>
      <c r="FE22" s="348">
        <f t="shared" ca="1" si="105"/>
        <v>0.11880086170577828</v>
      </c>
      <c r="FF22" s="348">
        <f t="shared" ca="1" si="224"/>
        <v>6.4203247162037836E-3</v>
      </c>
      <c r="FG22" s="348">
        <f t="shared" ca="1" si="225"/>
        <v>5.4042745347288257E-2</v>
      </c>
      <c r="FH22" s="348">
        <f t="shared" ca="1" si="226"/>
        <v>0.27754585719746772</v>
      </c>
      <c r="FI22" s="348">
        <f t="shared" ca="1" si="147"/>
        <v>9.4810756743608754E-2</v>
      </c>
      <c r="FJ22" s="348">
        <f t="shared" ca="1" si="227"/>
        <v>0.34160393421456481</v>
      </c>
      <c r="FK22" s="348">
        <f t="shared" ca="1" si="228"/>
        <v>9.4810756743608754E-2</v>
      </c>
      <c r="FL22" s="348">
        <f t="shared" ca="1" si="109"/>
        <v>9.481075674360874E-2</v>
      </c>
      <c r="FM22" s="348"/>
      <c r="FN22" s="348"/>
      <c r="FO22" s="348"/>
      <c r="FP22" s="348">
        <f t="shared" ca="1" si="229"/>
        <v>1.8267997347311189</v>
      </c>
      <c r="FQ22" s="348">
        <f t="shared" ca="1" si="230"/>
        <v>0.1732002652688811</v>
      </c>
      <c r="FR22" s="348">
        <f t="shared" si="151"/>
        <v>0.33333333333333331</v>
      </c>
      <c r="FS22" s="348">
        <f t="shared" ca="1" si="231"/>
        <v>5.7733421756293701E-2</v>
      </c>
      <c r="FT22" s="348">
        <f t="shared" ca="1" si="232"/>
        <v>0.60893324491037293</v>
      </c>
      <c r="FU22" s="348">
        <f t="shared" si="233"/>
        <v>20.026666666666664</v>
      </c>
      <c r="FV22" s="348">
        <f t="shared" ca="1" si="234"/>
        <v>4.148146353189702</v>
      </c>
      <c r="FW22" s="348">
        <f t="shared" ca="1" si="235"/>
        <v>24.540009769888027</v>
      </c>
      <c r="FX22" s="348">
        <f t="shared" ca="1" si="236"/>
        <v>48.714822789744389</v>
      </c>
      <c r="FY22" s="348">
        <f t="shared" ca="1" si="237"/>
        <v>41.110006194834696</v>
      </c>
      <c r="FZ22" s="348">
        <f t="shared" ca="1" si="238"/>
        <v>8.5151625637504811</v>
      </c>
      <c r="GA22" s="348">
        <f t="shared" ca="1" si="239"/>
        <v>50.374831241414824</v>
      </c>
      <c r="GB22" s="348">
        <f t="shared" ca="1" si="240"/>
        <v>91.339986736555929</v>
      </c>
      <c r="GC22" s="348">
        <f t="shared" ca="1" si="119"/>
        <v>1545106776.8205991</v>
      </c>
      <c r="GD22" s="345">
        <f t="shared" si="152"/>
        <v>38</v>
      </c>
      <c r="GE22" s="351">
        <f t="shared" ca="1" si="153"/>
        <v>1313.7316585468341</v>
      </c>
      <c r="GF22" s="351">
        <f t="shared" ca="1" si="120"/>
        <v>1313.1596309655881</v>
      </c>
      <c r="GG22" s="351">
        <f t="shared" ca="1" si="121"/>
        <v>1741.1865462514288</v>
      </c>
      <c r="GH22" s="345">
        <f t="shared" ca="1" si="122"/>
        <v>0.16466272241946334</v>
      </c>
      <c r="GI22" s="345">
        <f t="shared" ca="1" si="123"/>
        <v>1.728377753400179</v>
      </c>
      <c r="GJ22" s="345">
        <f t="shared" ca="1" si="124"/>
        <v>-2.5901989236586176</v>
      </c>
      <c r="GK22" s="345">
        <f t="shared" ca="1" si="125"/>
        <v>1.8692760634816175</v>
      </c>
      <c r="GL22" s="345">
        <f t="shared" ca="1" si="154"/>
        <v>-0.16466272241946334</v>
      </c>
      <c r="GM22" s="351">
        <f t="shared" ca="1" si="155"/>
        <v>0.46188985034742031</v>
      </c>
      <c r="GN22" s="351">
        <f t="shared" ca="1" si="156"/>
        <v>9.8540612467590993E-2</v>
      </c>
      <c r="GO22" s="351">
        <f t="shared" ca="1" si="157"/>
        <v>-0.21353725045162913</v>
      </c>
      <c r="GP22" s="351">
        <f t="shared" ca="1" si="158"/>
        <v>-4.4044516921906925E-2</v>
      </c>
      <c r="GQ22" s="351">
        <f t="shared" ca="1" si="159"/>
        <v>0.30820804323947593</v>
      </c>
      <c r="GR22" s="351">
        <f t="shared" ca="1" si="160"/>
        <v>0.21334223385396231</v>
      </c>
      <c r="GS22" s="351">
        <f t="shared" ca="1" si="161"/>
        <v>-7.0952121062131224E-2</v>
      </c>
      <c r="GT22" s="351">
        <f t="shared" ca="1" si="162"/>
        <v>8.5374691872588417E-4</v>
      </c>
      <c r="GU22" s="351">
        <f t="shared" ca="1" si="163"/>
        <v>0.17947232421698212</v>
      </c>
      <c r="GV22" s="351">
        <f t="shared" ca="1" si="164"/>
        <v>-0.52858182897782513</v>
      </c>
      <c r="GW22" s="351">
        <f t="shared" ca="1" si="165"/>
        <v>0.11278034558657729</v>
      </c>
      <c r="GY22" s="356">
        <f t="shared" si="166"/>
        <v>0.11690653640730124</v>
      </c>
      <c r="GZ22" s="345">
        <f t="shared" si="167"/>
        <v>0.10333751595876814</v>
      </c>
      <c r="HA22" s="345">
        <f t="shared" si="168"/>
        <v>6.1557788635635435E-2</v>
      </c>
      <c r="HB22" s="345">
        <f t="shared" si="169"/>
        <v>0.2818018410017048</v>
      </c>
      <c r="HC22" s="345">
        <f t="shared" si="170"/>
        <v>0.41485370000330835</v>
      </c>
      <c r="HD22" s="345">
        <f t="shared" si="171"/>
        <v>0.36670277096643589</v>
      </c>
      <c r="HE22" s="345">
        <f t="shared" si="172"/>
        <v>0.21844352903025582</v>
      </c>
      <c r="HF22" s="345">
        <f t="shared" si="127"/>
        <v>-1.3148105305164108</v>
      </c>
      <c r="HG22" s="345">
        <f t="shared" si="128"/>
        <v>-1.3136545795291721</v>
      </c>
      <c r="HH22" s="345">
        <f t="shared" si="173"/>
        <v>-1.3142325550227913</v>
      </c>
      <c r="HI22" s="345">
        <f t="shared" si="129"/>
        <v>2.4913707220398065</v>
      </c>
      <c r="HJ22" s="345">
        <f t="shared" si="130"/>
        <v>0.17375081798783318</v>
      </c>
      <c r="HK22" s="345">
        <f t="shared" si="131"/>
        <v>0.32633371191635113</v>
      </c>
      <c r="HL22" s="345">
        <f t="shared" si="132"/>
        <v>1.0151898734177214</v>
      </c>
    </row>
    <row r="23" spans="1:220" s="351" customFormat="1" ht="20.25">
      <c r="A23" s="330" t="s">
        <v>146</v>
      </c>
      <c r="B23" s="331">
        <v>0</v>
      </c>
      <c r="C23" s="332">
        <f t="shared" ref="C23:C25" ca="1" si="241">E23</f>
        <v>-5.0457709583475641</v>
      </c>
      <c r="D23" s="333">
        <f t="shared" ca="1" si="0"/>
        <v>-5.1978860792115276</v>
      </c>
      <c r="E23" s="334">
        <f t="shared" ca="1" si="1"/>
        <v>-5.0457709583475641</v>
      </c>
      <c r="F23" s="357">
        <v>48.073698998676072</v>
      </c>
      <c r="G23" s="357">
        <v>0.90909090909090917</v>
      </c>
      <c r="H23" s="357">
        <v>15.353535353535353</v>
      </c>
      <c r="I23" s="357">
        <v>8.3769570035758445</v>
      </c>
      <c r="J23" s="357">
        <v>0.10101010101010102</v>
      </c>
      <c r="K23" s="357">
        <v>14.256414704818788</v>
      </c>
      <c r="L23" s="357">
        <v>10.707070707070708</v>
      </c>
      <c r="M23" s="357">
        <v>2.2222222222222223</v>
      </c>
      <c r="N23" s="357">
        <v>0</v>
      </c>
      <c r="O23" s="358"/>
      <c r="P23" s="358"/>
      <c r="Q23" s="358"/>
      <c r="R23" s="335">
        <f t="shared" ref="R23:R25" si="242">SUM(F23:P23)</f>
        <v>100.00000000000001</v>
      </c>
      <c r="S23" s="336">
        <f t="shared" ca="1" si="2"/>
        <v>1.7924088002152705</v>
      </c>
      <c r="T23" s="337">
        <f t="shared" ca="1" si="135"/>
        <v>0.34273092530581978</v>
      </c>
      <c r="U23" s="338">
        <f t="shared" ref="U23:U25" ca="1" si="243">AY23</f>
        <v>1428.7027890205393</v>
      </c>
      <c r="V23" s="338">
        <f t="shared" ref="V23:V25" ca="1" si="244">AZ23</f>
        <v>1407.7993580714935</v>
      </c>
      <c r="W23" s="339">
        <f t="shared" ca="1" si="4"/>
        <v>1415.9106914761649</v>
      </c>
      <c r="X23" s="340">
        <f t="shared" ca="1" si="5"/>
        <v>1506.9722761092005</v>
      </c>
      <c r="Y23" s="340">
        <f t="shared" ca="1" si="6"/>
        <v>1440.0847417623957</v>
      </c>
      <c r="Z23" s="341">
        <f t="shared" ca="1" si="7"/>
        <v>1469.666033650949</v>
      </c>
      <c r="AA23" s="341">
        <f t="shared" ca="1" si="8"/>
        <v>1450.2481337975482</v>
      </c>
      <c r="AB23" s="341">
        <f t="shared" ca="1" si="136"/>
        <v>38.73645960299082</v>
      </c>
      <c r="AC23" s="342">
        <v>13.3</v>
      </c>
      <c r="AD23" s="343">
        <f t="shared" ca="1" si="9"/>
        <v>11.054647128703602</v>
      </c>
      <c r="AE23" s="344">
        <f t="shared" ca="1" si="10"/>
        <v>104.16823824877362</v>
      </c>
      <c r="AF23" s="344">
        <f t="shared" ca="1" si="11"/>
        <v>212.64752648721191</v>
      </c>
      <c r="AG23" s="345">
        <f t="shared" ca="1" si="12"/>
        <v>489.86339022870334</v>
      </c>
      <c r="AH23" s="345">
        <f t="shared" ca="1" si="13"/>
        <v>62.263222522817593</v>
      </c>
      <c r="AI23" s="332">
        <f t="shared" si="14"/>
        <v>0.3041274240419346</v>
      </c>
      <c r="AJ23" s="332">
        <f t="shared" ca="1" si="15"/>
        <v>1.7924088002152705</v>
      </c>
      <c r="AK23" s="332">
        <f t="shared" ca="1" si="16"/>
        <v>0.27897425505855694</v>
      </c>
      <c r="AL23" s="346">
        <f t="shared" ca="1" si="17"/>
        <v>0.27554067865544374</v>
      </c>
      <c r="AM23" s="332">
        <f t="shared" ca="1" si="18"/>
        <v>0.34273092530581978</v>
      </c>
      <c r="AN23" s="332">
        <f t="shared" ca="1" si="19"/>
        <v>0.34273092530581972</v>
      </c>
      <c r="AO23" s="347">
        <f t="shared" ref="AO23:AO25" ca="1" si="245">FY23</f>
        <v>41.169535889309898</v>
      </c>
      <c r="AP23" s="347">
        <f t="shared" ref="AP23:AP25" ca="1" si="246">FZ23</f>
        <v>8.1977212132116399</v>
      </c>
      <c r="AQ23" s="347">
        <f t="shared" ref="AQ23:AQ25" ca="1" si="247">GA23</f>
        <v>50.632742897478458</v>
      </c>
      <c r="AR23" s="348"/>
      <c r="AS23" s="53">
        <f t="shared" ca="1" si="138"/>
        <v>79.053640818943961</v>
      </c>
      <c r="AT23" s="335">
        <f t="shared" ca="1" si="139"/>
        <v>91.674883310770156</v>
      </c>
      <c r="AU23" s="349">
        <f t="shared" ca="1" si="23"/>
        <v>0.34273092530581972</v>
      </c>
      <c r="AV23" s="335">
        <f t="shared" ref="AV23:AV25" si="248">(0.666-(-0.049*CK23+0.027*CJ23))/(1*CL23+0.259*CK23+0.299*CJ23)</f>
        <v>3.1546034966541043</v>
      </c>
      <c r="AW23" s="335">
        <f t="shared" ca="1" si="25"/>
        <v>3.1911460220702592</v>
      </c>
      <c r="AX23" s="350">
        <f t="shared" ref="AX23:AX25" ca="1" si="249">(DE23/DF23)-273.15</f>
        <v>1429.609131071325</v>
      </c>
      <c r="AY23" s="350">
        <f t="shared" ref="AY23:AY25" ca="1" si="250">(DK23-273.15)+54*DL23+2*DL23^2</f>
        <v>1428.7027890205393</v>
      </c>
      <c r="AZ23" s="350">
        <f t="shared" ca="1" si="28"/>
        <v>1407.7993580714935</v>
      </c>
      <c r="BA23" s="350"/>
      <c r="BB23" s="349">
        <f t="shared" ca="1" si="184"/>
        <v>0.12710323687130132</v>
      </c>
      <c r="BC23" s="349">
        <f t="shared" ref="BC23:BC25" ca="1" si="251">STDEV(BE23,BI23)</f>
        <v>4.045068947327065E-2</v>
      </c>
      <c r="BD23" s="335">
        <f t="shared" si="29"/>
        <v>8.3233606308416364E-2</v>
      </c>
      <c r="BE23" s="335">
        <f t="shared" ca="1" si="30"/>
        <v>0.18242911920594684</v>
      </c>
      <c r="BF23" s="335">
        <f t="shared" ca="1" si="31"/>
        <v>0.11752701642533701</v>
      </c>
      <c r="BH23" s="335">
        <f t="shared" ca="1" si="32"/>
        <v>8.7680403570303794E-2</v>
      </c>
      <c r="BI23" s="335">
        <f t="shared" ca="1" si="33"/>
        <v>0.12522320554550506</v>
      </c>
      <c r="BK23" s="344">
        <f t="shared" ca="1" si="142"/>
        <v>0.16030975127716207</v>
      </c>
      <c r="BL23" s="344">
        <f t="shared" si="34"/>
        <v>0.11536963229312264</v>
      </c>
      <c r="BM23" s="344">
        <f t="shared" si="143"/>
        <v>0.17183442636795709</v>
      </c>
      <c r="BN23" s="344">
        <f t="shared" si="35"/>
        <v>0.21247542662481897</v>
      </c>
      <c r="BO23" s="344">
        <f t="shared" si="36"/>
        <v>0.16069345005636843</v>
      </c>
      <c r="BP23" s="344">
        <f t="shared" si="37"/>
        <v>0.22021214674199119</v>
      </c>
      <c r="BQ23" s="352">
        <f t="shared" si="38"/>
        <v>1335.3372611598547</v>
      </c>
      <c r="BR23" s="353">
        <f t="shared" si="39"/>
        <v>2.4271423712690212</v>
      </c>
      <c r="BS23" s="352">
        <f t="shared" si="144"/>
        <v>1456.9299491289471</v>
      </c>
      <c r="BT23" s="354"/>
      <c r="BU23" s="348">
        <f t="shared" si="40"/>
        <v>0.80016143473162571</v>
      </c>
      <c r="BV23" s="348">
        <f t="shared" si="41"/>
        <v>1.1377858686995108E-2</v>
      </c>
      <c r="BW23" s="348">
        <f t="shared" si="42"/>
        <v>0.30116781784102303</v>
      </c>
      <c r="BX23" s="348">
        <f t="shared" si="43"/>
        <v>0.11658951988275358</v>
      </c>
      <c r="BY23" s="348">
        <f t="shared" si="44"/>
        <v>1.4238807585297579E-3</v>
      </c>
      <c r="BZ23" s="348">
        <f t="shared" si="45"/>
        <v>0.35375718870518086</v>
      </c>
      <c r="CA23" s="348">
        <f t="shared" si="46"/>
        <v>0.19092494128157467</v>
      </c>
      <c r="CB23" s="348">
        <f t="shared" si="47"/>
        <v>7.1707719335986519E-2</v>
      </c>
      <c r="CC23" s="348">
        <f t="shared" si="48"/>
        <v>0</v>
      </c>
      <c r="CD23" s="348">
        <f t="shared" si="49"/>
        <v>0</v>
      </c>
      <c r="CE23" s="348">
        <f t="shared" si="50"/>
        <v>0</v>
      </c>
      <c r="CF23" s="348">
        <f t="shared" ref="CF23:CF25" si="252">SUM(BU23:CE23)</f>
        <v>1.8471103612236692</v>
      </c>
      <c r="CG23" s="348">
        <f t="shared" ref="CG23:CG25" si="253">BU23/$CF23</f>
        <v>0.43319633278519248</v>
      </c>
      <c r="CH23" s="348">
        <f t="shared" ref="CH23:CH25" si="254">BV23/$CF23</f>
        <v>6.1598153125282298E-3</v>
      </c>
      <c r="CI23" s="348">
        <f t="shared" ref="CI23:CI25" si="255">BW23/$CF23</f>
        <v>0.16304809077109292</v>
      </c>
      <c r="CJ23" s="348">
        <f t="shared" ref="CJ23:CJ25" si="256">BX23/$CF23</f>
        <v>6.3119953377076848E-2</v>
      </c>
      <c r="CK23" s="348">
        <f t="shared" ref="CK23:CK25" si="257">BY23/$CF23</f>
        <v>7.7086934729036377E-4</v>
      </c>
      <c r="CL23" s="348">
        <f t="shared" ref="CL23:CL25" si="258">BZ23/$CF23</f>
        <v>0.19151924873120449</v>
      </c>
      <c r="CM23" s="348">
        <f t="shared" ref="CM23:CM25" si="259">CA23/$CF23</f>
        <v>0.10336412230132865</v>
      </c>
      <c r="CN23" s="348">
        <f t="shared" ref="CN23:CN25" si="260">CB23/$CF23</f>
        <v>3.8821567374286048E-2</v>
      </c>
      <c r="CO23" s="348">
        <f t="shared" ref="CO23:CO25" si="261">CC23/$CF23</f>
        <v>0</v>
      </c>
      <c r="CP23" s="348">
        <f t="shared" ref="CP23:CP25" si="262">CD23/CF23</f>
        <v>0</v>
      </c>
      <c r="CQ23" s="348">
        <f t="shared" ref="CQ23:CQ25" si="263">CE23/CF23</f>
        <v>0</v>
      </c>
      <c r="CR23" s="348"/>
      <c r="CS23" s="348">
        <f t="shared" ca="1" si="55"/>
        <v>0.68524527112699563</v>
      </c>
      <c r="CT23" s="348">
        <f t="shared" ca="1" si="56"/>
        <v>0.1140949368575037</v>
      </c>
      <c r="CU23" s="348">
        <f t="shared" ca="1" si="57"/>
        <v>1.256395605396488</v>
      </c>
      <c r="CV23" s="348">
        <f t="shared" ca="1" si="58"/>
        <v>2.0557358133809873</v>
      </c>
      <c r="CW23" s="348">
        <f t="shared" ca="1" si="59"/>
        <v>0.33333333333333326</v>
      </c>
      <c r="CX23" s="348">
        <f t="shared" ca="1" si="60"/>
        <v>5.5500777928198991E-2</v>
      </c>
      <c r="CY23" s="348">
        <f t="shared" ca="1" si="61"/>
        <v>0.61116588873846778</v>
      </c>
      <c r="CZ23" s="348">
        <f t="shared" si="62"/>
        <v>0.35877419375690034</v>
      </c>
      <c r="DA23" s="348">
        <f t="shared" si="63"/>
        <v>0.43319633278519248</v>
      </c>
      <c r="DB23" s="348">
        <f t="shared" si="64"/>
        <v>-0.66621238862775689</v>
      </c>
      <c r="DC23" s="348"/>
      <c r="DD23" s="348">
        <f t="shared" ref="DD23:DD25" ca="1" si="264">(DE23/DF23)-273.15</f>
        <v>1429.609131071325</v>
      </c>
      <c r="DE23" s="348">
        <f t="shared" ref="DE23:DE25" ca="1" si="265">113.1*1000/8.3144+(DL23*10^9-10^5)*4.11*(10^-6)/8.3144</f>
        <v>14488.885448004037</v>
      </c>
      <c r="DF23" s="348">
        <f t="shared" si="67"/>
        <v>8.5090634274784751</v>
      </c>
      <c r="DG23" s="348">
        <f t="shared" ref="DG23:DG25" si="266">DI23/DJ23</f>
        <v>1598.6372551947363</v>
      </c>
      <c r="DH23" s="348">
        <f t="shared" ref="DH23:DH25" si="267">DG23-273.15</f>
        <v>1325.4872551947365</v>
      </c>
      <c r="DI23" s="348">
        <f t="shared" si="145"/>
        <v>13602.905801982104</v>
      </c>
      <c r="DJ23" s="348">
        <f t="shared" si="70"/>
        <v>8.5090634274784751</v>
      </c>
      <c r="DK23" s="348">
        <f t="shared" ref="DK23:DK25" si="268">DI23/DJ23</f>
        <v>1598.6372551947363</v>
      </c>
      <c r="DL23" s="348">
        <f t="shared" ca="1" si="72"/>
        <v>1.7924088002152705</v>
      </c>
      <c r="DM23" s="348">
        <f t="shared" si="73"/>
        <v>-0.66621238862775689</v>
      </c>
      <c r="DN23" s="348">
        <f t="shared" si="74"/>
        <v>0.35877419375690034</v>
      </c>
      <c r="DO23" s="348">
        <f t="shared" si="75"/>
        <v>0.43319633278519248</v>
      </c>
      <c r="DP23" s="348">
        <f t="shared" si="76"/>
        <v>3.1546034966541043</v>
      </c>
      <c r="DQ23" s="348">
        <f t="shared" ca="1" si="77"/>
        <v>14488.987669946404</v>
      </c>
      <c r="DR23" s="348">
        <f t="shared" ref="DR23:DR25" si="269">6.26+2*LN(DP23)+2*LN(1.5*DN23)+2*LN(3*DO23)-DM23</f>
        <v>8.5088402003063397</v>
      </c>
      <c r="DS23" s="348">
        <f t="shared" ref="DS23:DS25" ca="1" si="270">(DQ23/DR23)-273.15</f>
        <v>1429.6658161231849</v>
      </c>
      <c r="DT23" s="348">
        <f t="shared" ref="DT23:DT25" si="271">(13603+4.943*10^-7*(0.0001*10^9-10^-5))/(6.26+2*LN(DP23)+2*LN(1.5*DN23)+2*LN(3*DO23)-DM23)-273.15</f>
        <v>1325.5460748787186</v>
      </c>
      <c r="DU23" s="348">
        <f t="shared" ref="DU23:DU25" ca="1" si="272">DT23+54*DL23-2*DL23^2</f>
        <v>1415.9106914761649</v>
      </c>
      <c r="DV23" s="355">
        <f t="shared" ca="1" si="82"/>
        <v>3.1911460220702592</v>
      </c>
      <c r="DW23" s="348">
        <f t="shared" ca="1" si="83"/>
        <v>3.2047134401810955</v>
      </c>
      <c r="DX23" s="348">
        <f t="shared" ref="DX23:DX25" ca="1" si="273">55.09*DL23+4430</f>
        <v>4528.7438008038589</v>
      </c>
      <c r="DY23" s="348">
        <f t="shared" ref="DY23:DY25" ca="1" si="274">DX23/DW23</f>
        <v>1413.1509369985804</v>
      </c>
      <c r="DZ23" s="348">
        <f t="shared" ca="1" si="85"/>
        <v>4.8484652981245224</v>
      </c>
      <c r="EA23" s="348"/>
      <c r="EB23" s="348">
        <f t="shared" si="86"/>
        <v>0.80016143473162571</v>
      </c>
      <c r="EC23" s="348">
        <f t="shared" si="87"/>
        <v>1.1377858686995108E-2</v>
      </c>
      <c r="ED23" s="348">
        <f t="shared" si="88"/>
        <v>0.15058390892051152</v>
      </c>
      <c r="EE23" s="348">
        <f t="shared" si="89"/>
        <v>0.11658951988275358</v>
      </c>
      <c r="EF23" s="348">
        <f t="shared" si="90"/>
        <v>1.4238807585297579E-3</v>
      </c>
      <c r="EG23" s="348">
        <f t="shared" si="91"/>
        <v>0.35375718870518086</v>
      </c>
      <c r="EH23" s="348">
        <f t="shared" si="92"/>
        <v>0.19092494128157467</v>
      </c>
      <c r="EI23" s="348">
        <f t="shared" si="93"/>
        <v>3.585385966799326E-2</v>
      </c>
      <c r="EJ23" s="348">
        <f t="shared" si="94"/>
        <v>0</v>
      </c>
      <c r="EK23" s="348">
        <f t="shared" si="95"/>
        <v>0</v>
      </c>
      <c r="EL23" s="348">
        <f t="shared" si="96"/>
        <v>0</v>
      </c>
      <c r="EM23" s="348">
        <f t="shared" ref="EM23:EM25" si="275">SUM(EB23:EL23)</f>
        <v>1.6606725926351644</v>
      </c>
      <c r="EN23" s="348">
        <f t="shared" ref="EN23:EN25" si="276">EB23/$EM23</f>
        <v>0.48182973469919504</v>
      </c>
      <c r="EO23" s="348">
        <f t="shared" ref="EO23:EO25" si="277">EC23/$EM23</f>
        <v>6.8513557322823389E-3</v>
      </c>
      <c r="EP23" s="348">
        <f t="shared" ref="EP23:EP25" si="278">ED23/$EM23</f>
        <v>9.0676458194305559E-2</v>
      </c>
      <c r="EQ23" s="348">
        <f t="shared" ref="EQ23:EQ25" si="279">EE23/$EM23</f>
        <v>7.0206204642510955E-2</v>
      </c>
      <c r="ER23" s="348">
        <f t="shared" ref="ER23:ER25" si="280">EF23/$EM23</f>
        <v>8.5741209004379121E-4</v>
      </c>
      <c r="ES23" s="348">
        <f t="shared" ref="ES23:ES25" si="281">EG23/$EM23</f>
        <v>0.21302042935738286</v>
      </c>
      <c r="ET23" s="348">
        <f t="shared" ref="ET23:ET25" si="282">EH23/$EM23</f>
        <v>0.11496844238189896</v>
      </c>
      <c r="EU23" s="348">
        <f t="shared" ref="EU23:EU25" si="283">EI23/$EM23</f>
        <v>2.1589962902380508E-2</v>
      </c>
      <c r="EV23" s="348">
        <f t="shared" ref="EV23:EV25" si="284">EJ23/$EM23</f>
        <v>0</v>
      </c>
      <c r="EW23" s="348">
        <f t="shared" ref="EW23:EW25" si="285">EK23/$EM23</f>
        <v>0</v>
      </c>
      <c r="EX23" s="348">
        <f t="shared" ref="EX23:EX25" si="286">EL23/$EM23</f>
        <v>0</v>
      </c>
      <c r="EY23" s="348">
        <f t="shared" ref="EY23:EY25" si="287">SUM(EN23:EX23)</f>
        <v>0.99999999999999989</v>
      </c>
      <c r="EZ23" s="348">
        <f t="shared" si="100"/>
        <v>0.16304809077109292</v>
      </c>
      <c r="FA23" s="348">
        <f t="shared" si="101"/>
        <v>0.60240423886881367</v>
      </c>
      <c r="FB23" s="348">
        <f t="shared" si="102"/>
        <v>1.5014694097961241</v>
      </c>
      <c r="FC23" s="348">
        <f t="shared" ref="FC23:FC25" si="288">(2*FB23-4*FA23)</f>
        <v>0.5933218641169935</v>
      </c>
      <c r="FD23" s="348">
        <f t="shared" ref="FD23:FD25" si="289">FC23/FA23</f>
        <v>0.98492312277072469</v>
      </c>
      <c r="FE23" s="348">
        <f t="shared" ca="1" si="105"/>
        <v>0.12192436880507874</v>
      </c>
      <c r="FF23" s="348">
        <f t="shared" ref="FF23:FF25" ca="1" si="290">EQ23*FE23/(1+2*FE23)</f>
        <v>6.8817428746879772E-3</v>
      </c>
      <c r="FG23" s="348">
        <f t="shared" ref="FG23:FG25" ca="1" si="291">EQ23-2*FF23</f>
        <v>5.6442718893134999E-2</v>
      </c>
      <c r="FH23" s="348">
        <f t="shared" ref="FH23:FH25" ca="1" si="292">FG23/ES23</f>
        <v>0.26496387723658865</v>
      </c>
      <c r="FI23" s="348">
        <f t="shared" ca="1" si="147"/>
        <v>9.0811314817913658E-2</v>
      </c>
      <c r="FJ23" s="348">
        <f t="shared" ref="FJ23:FJ25" ca="1" si="293">FI23/FH23</f>
        <v>0.34273092530581972</v>
      </c>
      <c r="FK23" s="348">
        <f t="shared" ref="FK23:FK25" ca="1" si="294">FQ23/FP23</f>
        <v>9.0811314817913699E-2</v>
      </c>
      <c r="FL23" s="348">
        <f t="shared" ca="1" si="109"/>
        <v>9.0811314817913671E-2</v>
      </c>
      <c r="FM23" s="348"/>
      <c r="FN23" s="348"/>
      <c r="FO23" s="348"/>
      <c r="FP23" s="348">
        <f t="shared" ref="FP23:FP25" ca="1" si="295">2/(1+FL23)</f>
        <v>1.833497666215403</v>
      </c>
      <c r="FQ23" s="348">
        <f t="shared" ref="FQ23:FQ25" ca="1" si="296">2-FP23</f>
        <v>0.166502333784597</v>
      </c>
      <c r="FR23" s="348">
        <f t="shared" si="151"/>
        <v>0.33333333333333331</v>
      </c>
      <c r="FS23" s="348">
        <f t="shared" ref="FS23:FS25" ca="1" si="297">FQ23/3</f>
        <v>5.5500777928198998E-2</v>
      </c>
      <c r="FT23" s="348">
        <f t="shared" ref="FT23:FT25" ca="1" si="298">FP23/3</f>
        <v>0.61116588873846767</v>
      </c>
      <c r="FU23" s="348">
        <f t="shared" ref="FU23:FU25" si="299">60.08*FR23</f>
        <v>20.026666666666664</v>
      </c>
      <c r="FV23" s="348">
        <f t="shared" ref="FV23:FV25" ca="1" si="300">71.85*FS23</f>
        <v>3.9877308941410976</v>
      </c>
      <c r="FW23" s="348">
        <f t="shared" ref="FW23:FW25" ca="1" si="301">40.3*FT23</f>
        <v>24.629985316160244</v>
      </c>
      <c r="FX23" s="348">
        <f t="shared" ref="FX23:FX25" ca="1" si="302">SUM(FU23:FW23)</f>
        <v>48.64438287696801</v>
      </c>
      <c r="FY23" s="348">
        <f t="shared" ref="FY23:FY25" ca="1" si="303">100*FU23/$FX23</f>
        <v>41.169535889309898</v>
      </c>
      <c r="FZ23" s="348">
        <f t="shared" ref="FZ23:FZ25" ca="1" si="304">100*FV23/$FX23</f>
        <v>8.1977212132116399</v>
      </c>
      <c r="GA23" s="348">
        <f t="shared" ref="GA23:GA25" ca="1" si="305">100*FW23/$FX23</f>
        <v>50.632742897478458</v>
      </c>
      <c r="GB23" s="348">
        <f t="shared" ref="GB23:GB25" ca="1" si="306">100*GA23/40.3/(GA23/40.3+FZ23/71.85)</f>
        <v>91.674883310770142</v>
      </c>
      <c r="GC23" s="348">
        <f t="shared" ca="1" si="119"/>
        <v>1792408800.2152705</v>
      </c>
      <c r="GD23" s="345">
        <f t="shared" si="152"/>
        <v>38</v>
      </c>
      <c r="GE23" s="351">
        <f t="shared" ca="1" si="153"/>
        <v>1342.3550448060571</v>
      </c>
      <c r="GF23" s="351">
        <f t="shared" ca="1" si="120"/>
        <v>1341.8133591652265</v>
      </c>
      <c r="GG23" s="351">
        <f t="shared" ca="1" si="121"/>
        <v>1756.3675301208166</v>
      </c>
      <c r="GH23" s="345">
        <f t="shared" ca="1" si="122"/>
        <v>0.2095972877441413</v>
      </c>
      <c r="GI23" s="345">
        <f t="shared" ca="1" si="123"/>
        <v>1.6536925423349882</v>
      </c>
      <c r="GJ23" s="345">
        <f t="shared" ca="1" si="124"/>
        <v>-2.4487421662768654</v>
      </c>
      <c r="GK23" s="345">
        <f t="shared" ca="1" si="125"/>
        <v>1.8022572151416614</v>
      </c>
      <c r="GL23" s="345">
        <f t="shared" ca="1" si="154"/>
        <v>-0.2095972877441413</v>
      </c>
      <c r="GM23" s="351">
        <f t="shared" ca="1" si="155"/>
        <v>0.45290282757713712</v>
      </c>
      <c r="GN23" s="351">
        <f t="shared" ca="1" si="156"/>
        <v>9.2899867864242633E-2</v>
      </c>
      <c r="GO23" s="351">
        <f t="shared" ca="1" si="157"/>
        <v>-0.20778444443843452</v>
      </c>
      <c r="GP23" s="351">
        <f t="shared" ca="1" si="158"/>
        <v>-5.8148550046910615E-2</v>
      </c>
      <c r="GQ23" s="351">
        <f t="shared" ca="1" si="159"/>
        <v>0.30585581392812911</v>
      </c>
      <c r="GR23" s="351">
        <f t="shared" ca="1" si="160"/>
        <v>0.20512097122736597</v>
      </c>
      <c r="GS23" s="351">
        <f t="shared" ca="1" si="161"/>
        <v>-5.6736026527281276E-2</v>
      </c>
      <c r="GT23" s="351">
        <f t="shared" ca="1" si="162"/>
        <v>1.0222076759718521E-3</v>
      </c>
      <c r="GU23" s="351">
        <f t="shared" ca="1" si="163"/>
        <v>0.20318524932317089</v>
      </c>
      <c r="GV23" s="351">
        <f t="shared" ca="1" si="164"/>
        <v>-0.49577832562314594</v>
      </c>
      <c r="GW23" s="351">
        <f t="shared" ca="1" si="165"/>
        <v>0.16030975127716207</v>
      </c>
      <c r="GY23" s="356">
        <f t="shared" si="166"/>
        <v>0.12937808309840532</v>
      </c>
      <c r="GZ23" s="345">
        <f t="shared" si="167"/>
        <v>9.7527813926587895E-2</v>
      </c>
      <c r="HA23" s="345">
        <f t="shared" si="168"/>
        <v>5.7226930277083518E-2</v>
      </c>
      <c r="HB23" s="345">
        <f t="shared" si="169"/>
        <v>0.28413282730207673</v>
      </c>
      <c r="HC23" s="345">
        <f t="shared" si="170"/>
        <v>0.45534366559079986</v>
      </c>
      <c r="HD23" s="345">
        <f t="shared" si="171"/>
        <v>0.34324725816669149</v>
      </c>
      <c r="HE23" s="345">
        <f t="shared" si="172"/>
        <v>0.20140907624250867</v>
      </c>
      <c r="HF23" s="345">
        <f t="shared" si="127"/>
        <v>-1.3372637771265468</v>
      </c>
      <c r="HG23" s="345">
        <f t="shared" si="128"/>
        <v>-1.3325516025503037</v>
      </c>
      <c r="HH23" s="345">
        <f t="shared" si="173"/>
        <v>-1.3349076898384253</v>
      </c>
      <c r="HI23" s="345">
        <f t="shared" si="129"/>
        <v>2.3757061234194214</v>
      </c>
      <c r="HJ23" s="345">
        <f t="shared" si="130"/>
        <v>0.18843869642722058</v>
      </c>
      <c r="HK23" s="345">
        <f t="shared" si="131"/>
        <v>0.33102596157141478</v>
      </c>
      <c r="HL23" s="345">
        <f t="shared" si="132"/>
        <v>0.95738822541127144</v>
      </c>
    </row>
    <row r="24" spans="1:220" s="351" customFormat="1" ht="20.25">
      <c r="A24" s="330" t="s">
        <v>146</v>
      </c>
      <c r="B24" s="331">
        <v>0</v>
      </c>
      <c r="C24" s="332">
        <f t="shared" ca="1" si="241"/>
        <v>-5.1471001159136014</v>
      </c>
      <c r="D24" s="333">
        <f t="shared" ca="1" si="0"/>
        <v>-5.3158908575598218</v>
      </c>
      <c r="E24" s="334">
        <f t="shared" ca="1" si="1"/>
        <v>-5.1471001159136014</v>
      </c>
      <c r="F24" s="357">
        <v>48.148902058549623</v>
      </c>
      <c r="G24" s="357">
        <v>0.91836734693877553</v>
      </c>
      <c r="H24" s="357">
        <v>15.510204081632653</v>
      </c>
      <c r="I24" s="357">
        <v>8.3534437419185412</v>
      </c>
      <c r="J24" s="357">
        <v>0.10204081632653061</v>
      </c>
      <c r="K24" s="357">
        <v>13.905817464837959</v>
      </c>
      <c r="L24" s="357">
        <v>10.816326530612244</v>
      </c>
      <c r="M24" s="357">
        <v>2.2448979591836737</v>
      </c>
      <c r="N24" s="357">
        <v>0</v>
      </c>
      <c r="O24" s="358"/>
      <c r="P24" s="358"/>
      <c r="Q24" s="358"/>
      <c r="R24" s="335">
        <f t="shared" si="242"/>
        <v>100.00000000000001</v>
      </c>
      <c r="S24" s="336">
        <f t="shared" ca="1" si="2"/>
        <v>1.7346394542610788</v>
      </c>
      <c r="T24" s="337">
        <f t="shared" ca="1" si="135"/>
        <v>0.34242000801494832</v>
      </c>
      <c r="U24" s="338">
        <f t="shared" ca="1" si="243"/>
        <v>1418.1345004776324</v>
      </c>
      <c r="V24" s="338">
        <f t="shared" ca="1" si="244"/>
        <v>1398.1770717151546</v>
      </c>
      <c r="W24" s="339">
        <f t="shared" ca="1" si="4"/>
        <v>1406.1569810258786</v>
      </c>
      <c r="X24" s="340">
        <f t="shared" ca="1" si="5"/>
        <v>1486.8546261557508</v>
      </c>
      <c r="Y24" s="340">
        <f t="shared" ca="1" si="6"/>
        <v>1424.387059884559</v>
      </c>
      <c r="Z24" s="341">
        <f t="shared" ca="1" si="7"/>
        <v>1453.6011812482423</v>
      </c>
      <c r="AA24" s="341">
        <f t="shared" ca="1" si="8"/>
        <v>1435.6917175112387</v>
      </c>
      <c r="AB24" s="341">
        <f t="shared" ca="1" si="136"/>
        <v>36.023017338910613</v>
      </c>
      <c r="AC24" s="342">
        <v>13.3</v>
      </c>
      <c r="AD24" s="343">
        <f t="shared" ca="1" si="9"/>
        <v>10.983127070833909</v>
      </c>
      <c r="AE24" s="344">
        <f t="shared" ca="1" si="10"/>
        <v>103.29313180163271</v>
      </c>
      <c r="AF24" s="344">
        <f t="shared" ca="1" si="11"/>
        <v>212.56934016085293</v>
      </c>
      <c r="AG24" s="345">
        <f t="shared" ca="1" si="12"/>
        <v>485.9267649956949</v>
      </c>
      <c r="AH24" s="345">
        <f t="shared" ca="1" si="13"/>
        <v>56.566411344315661</v>
      </c>
      <c r="AI24" s="332">
        <f t="shared" si="14"/>
        <v>0.30009878578117755</v>
      </c>
      <c r="AJ24" s="332">
        <f t="shared" ca="1" si="15"/>
        <v>1.7346394542610788</v>
      </c>
      <c r="AK24" s="332">
        <f t="shared" ca="1" si="16"/>
        <v>0.27891913382500694</v>
      </c>
      <c r="AL24" s="346">
        <f t="shared" ca="1" si="17"/>
        <v>0.27539429481868566</v>
      </c>
      <c r="AM24" s="332">
        <f t="shared" ca="1" si="18"/>
        <v>0.34242000801494832</v>
      </c>
      <c r="AN24" s="332">
        <f t="shared" ca="1" si="19"/>
        <v>0.3424200080149486</v>
      </c>
      <c r="AO24" s="347">
        <f t="shared" ca="1" si="245"/>
        <v>41.140004764888346</v>
      </c>
      <c r="AP24" s="347">
        <f t="shared" ca="1" si="246"/>
        <v>8.3551955644904563</v>
      </c>
      <c r="AQ24" s="347">
        <f t="shared" ca="1" si="247"/>
        <v>50.504799670621203</v>
      </c>
      <c r="AR24" s="348"/>
      <c r="AS24" s="53">
        <f t="shared" ca="1" si="138"/>
        <v>78.679217516683437</v>
      </c>
      <c r="AT24" s="335">
        <f t="shared" ca="1" si="139"/>
        <v>91.50887102115459</v>
      </c>
      <c r="AU24" s="349">
        <f t="shared" ca="1" si="23"/>
        <v>0.3424200080149486</v>
      </c>
      <c r="AV24" s="335">
        <f t="shared" si="248"/>
        <v>3.2242804338271016</v>
      </c>
      <c r="AW24" s="335">
        <f t="shared" ca="1" si="25"/>
        <v>3.2623333738186289</v>
      </c>
      <c r="AX24" s="350">
        <f t="shared" ca="1" si="249"/>
        <v>1418.7680364746143</v>
      </c>
      <c r="AY24" s="350">
        <f t="shared" ca="1" si="250"/>
        <v>1418.1345004776324</v>
      </c>
      <c r="AZ24" s="350">
        <f t="shared" ca="1" si="28"/>
        <v>1398.1770717151546</v>
      </c>
      <c r="BA24" s="350"/>
      <c r="BB24" s="349">
        <f t="shared" ca="1" si="184"/>
        <v>0.11640933453175153</v>
      </c>
      <c r="BC24" s="349">
        <f t="shared" ca="1" si="251"/>
        <v>3.5875757404985748E-2</v>
      </c>
      <c r="BD24" s="335">
        <f t="shared" si="29"/>
        <v>7.3084224990474289E-2</v>
      </c>
      <c r="BE24" s="335">
        <f t="shared" ca="1" si="30"/>
        <v>0.1657248393627001</v>
      </c>
      <c r="BF24" s="335">
        <f t="shared" ca="1" si="31"/>
        <v>0.11183941709366953</v>
      </c>
      <c r="BH24" s="335">
        <f t="shared" ca="1" si="32"/>
        <v>7.6409558948018125E-2</v>
      </c>
      <c r="BI24" s="335">
        <f t="shared" ca="1" si="33"/>
        <v>0.11498885668016222</v>
      </c>
      <c r="BK24" s="344">
        <f t="shared" ca="1" si="142"/>
        <v>0.1477695674988741</v>
      </c>
      <c r="BL24" s="344">
        <f t="shared" si="34"/>
        <v>8.8472164164191403E-2</v>
      </c>
      <c r="BM24" s="344">
        <f t="shared" si="143"/>
        <v>0.12187593379119978</v>
      </c>
      <c r="BN24" s="344">
        <f t="shared" si="35"/>
        <v>0.205626210133941</v>
      </c>
      <c r="BO24" s="344">
        <f t="shared" si="36"/>
        <v>0.15560855809042878</v>
      </c>
      <c r="BP24" s="344">
        <f t="shared" si="37"/>
        <v>0.22073690942146007</v>
      </c>
      <c r="BQ24" s="352">
        <f t="shared" si="38"/>
        <v>1328.3624646435835</v>
      </c>
      <c r="BR24" s="353">
        <f t="shared" si="39"/>
        <v>2.3328083369138031</v>
      </c>
      <c r="BS24" s="352">
        <f t="shared" si="144"/>
        <v>1445.740088046919</v>
      </c>
      <c r="BT24" s="354"/>
      <c r="BU24" s="348">
        <f t="shared" si="40"/>
        <v>0.80141315010901504</v>
      </c>
      <c r="BV24" s="348">
        <f t="shared" si="41"/>
        <v>1.1493959285841996E-2</v>
      </c>
      <c r="BW24" s="348">
        <f t="shared" si="42"/>
        <v>0.30424095883940083</v>
      </c>
      <c r="BX24" s="348">
        <f t="shared" si="43"/>
        <v>0.11626226502322257</v>
      </c>
      <c r="BY24" s="348">
        <f t="shared" si="44"/>
        <v>1.4384101540249594E-3</v>
      </c>
      <c r="BZ24" s="348">
        <f t="shared" si="45"/>
        <v>0.34505750533096674</v>
      </c>
      <c r="CA24" s="348">
        <f t="shared" si="46"/>
        <v>0.19287315496812132</v>
      </c>
      <c r="CB24" s="348">
        <f t="shared" si="47"/>
        <v>7.2439430757782308E-2</v>
      </c>
      <c r="CC24" s="348">
        <f t="shared" si="48"/>
        <v>0</v>
      </c>
      <c r="CD24" s="348">
        <f t="shared" si="49"/>
        <v>0</v>
      </c>
      <c r="CE24" s="348">
        <f t="shared" si="50"/>
        <v>0</v>
      </c>
      <c r="CF24" s="348">
        <f t="shared" si="252"/>
        <v>1.8452188344683758</v>
      </c>
      <c r="CG24" s="348">
        <f t="shared" si="253"/>
        <v>0.43431875674513665</v>
      </c>
      <c r="CH24" s="348">
        <f t="shared" si="254"/>
        <v>6.2290494065726952E-3</v>
      </c>
      <c r="CI24" s="348">
        <f t="shared" si="255"/>
        <v>0.16488069228225463</v>
      </c>
      <c r="CJ24" s="348">
        <f t="shared" si="256"/>
        <v>6.3007304527497296E-2</v>
      </c>
      <c r="CK24" s="348">
        <f t="shared" si="257"/>
        <v>7.7953363967227143E-4</v>
      </c>
      <c r="CL24" s="348">
        <f t="shared" si="258"/>
        <v>0.18700085804748515</v>
      </c>
      <c r="CM24" s="348">
        <f t="shared" si="259"/>
        <v>0.104525897614572</v>
      </c>
      <c r="CN24" s="348">
        <f t="shared" si="260"/>
        <v>3.925790773680931E-2</v>
      </c>
      <c r="CO24" s="348">
        <f t="shared" si="261"/>
        <v>0</v>
      </c>
      <c r="CP24" s="348">
        <f t="shared" si="262"/>
        <v>0</v>
      </c>
      <c r="CQ24" s="348">
        <f t="shared" si="263"/>
        <v>0</v>
      </c>
      <c r="CR24" s="348"/>
      <c r="CS24" s="348">
        <f t="shared" ca="1" si="55"/>
        <v>0.68475374109334797</v>
      </c>
      <c r="CT24" s="348">
        <f t="shared" ca="1" si="56"/>
        <v>0.11628664668741068</v>
      </c>
      <c r="CU24" s="348">
        <f t="shared" ca="1" si="57"/>
        <v>1.2532208354992855</v>
      </c>
      <c r="CV24" s="348">
        <f t="shared" ca="1" si="58"/>
        <v>2.0542612232800441</v>
      </c>
      <c r="CW24" s="348">
        <f t="shared" ca="1" si="59"/>
        <v>0.33333333333333331</v>
      </c>
      <c r="CX24" s="348">
        <f t="shared" ca="1" si="60"/>
        <v>5.6607526525636061E-2</v>
      </c>
      <c r="CY24" s="348">
        <f t="shared" ca="1" si="61"/>
        <v>0.61005914014103069</v>
      </c>
      <c r="CZ24" s="348">
        <f t="shared" si="62"/>
        <v>0.35531359382922667</v>
      </c>
      <c r="DA24" s="348">
        <f t="shared" si="63"/>
        <v>0.43431875674513665</v>
      </c>
      <c r="DB24" s="348">
        <f t="shared" si="64"/>
        <v>-0.67437209909709006</v>
      </c>
      <c r="DC24" s="348"/>
      <c r="DD24" s="348">
        <f t="shared" ca="1" si="264"/>
        <v>1418.7680364746143</v>
      </c>
      <c r="DE24" s="348">
        <f t="shared" ca="1" si="265"/>
        <v>14460.328725706369</v>
      </c>
      <c r="DF24" s="348">
        <f t="shared" si="67"/>
        <v>8.5467075910112111</v>
      </c>
      <c r="DG24" s="348">
        <f t="shared" si="266"/>
        <v>1591.596021874976</v>
      </c>
      <c r="DH24" s="348">
        <f t="shared" si="267"/>
        <v>1318.4460218749759</v>
      </c>
      <c r="DI24" s="348">
        <f t="shared" si="145"/>
        <v>13602.905801982104</v>
      </c>
      <c r="DJ24" s="348">
        <f t="shared" si="70"/>
        <v>8.5467075910112111</v>
      </c>
      <c r="DK24" s="348">
        <f t="shared" si="268"/>
        <v>1591.596021874976</v>
      </c>
      <c r="DL24" s="348">
        <f t="shared" ca="1" si="72"/>
        <v>1.7346394542610788</v>
      </c>
      <c r="DM24" s="348">
        <f t="shared" si="73"/>
        <v>-0.67437209909709006</v>
      </c>
      <c r="DN24" s="348">
        <f t="shared" si="74"/>
        <v>0.35531359382922667</v>
      </c>
      <c r="DO24" s="348">
        <f t="shared" si="75"/>
        <v>0.43431875674513665</v>
      </c>
      <c r="DP24" s="348">
        <f t="shared" si="76"/>
        <v>3.2242804338271016</v>
      </c>
      <c r="DQ24" s="348">
        <f t="shared" ca="1" si="77"/>
        <v>14460.432282241247</v>
      </c>
      <c r="DR24" s="348">
        <f t="shared" si="269"/>
        <v>8.5464843638390757</v>
      </c>
      <c r="DS24" s="348">
        <f t="shared" ca="1" si="270"/>
        <v>1418.8243448457711</v>
      </c>
      <c r="DT24" s="348">
        <f t="shared" si="271"/>
        <v>1318.5043985683387</v>
      </c>
      <c r="DU24" s="348">
        <f t="shared" ca="1" si="272"/>
        <v>1406.1569810258786</v>
      </c>
      <c r="DV24" s="355">
        <f t="shared" ca="1" si="82"/>
        <v>3.2623333738186289</v>
      </c>
      <c r="DW24" s="348">
        <f t="shared" ca="1" si="83"/>
        <v>3.2256161675732478</v>
      </c>
      <c r="DX24" s="348">
        <f t="shared" ca="1" si="273"/>
        <v>4525.5612875352426</v>
      </c>
      <c r="DY24" s="348">
        <f t="shared" ca="1" si="274"/>
        <v>1403.0067597720383</v>
      </c>
      <c r="DZ24" s="348">
        <f t="shared" ca="1" si="85"/>
        <v>4.9502148226099507</v>
      </c>
      <c r="EA24" s="348"/>
      <c r="EB24" s="348">
        <f t="shared" si="86"/>
        <v>0.80141315010901504</v>
      </c>
      <c r="EC24" s="348">
        <f t="shared" si="87"/>
        <v>1.1493959285841996E-2</v>
      </c>
      <c r="ED24" s="348">
        <f t="shared" si="88"/>
        <v>0.15212047941970042</v>
      </c>
      <c r="EE24" s="348">
        <f t="shared" si="89"/>
        <v>0.11626226502322257</v>
      </c>
      <c r="EF24" s="348">
        <f t="shared" si="90"/>
        <v>1.4384101540249594E-3</v>
      </c>
      <c r="EG24" s="348">
        <f t="shared" si="91"/>
        <v>0.34505750533096674</v>
      </c>
      <c r="EH24" s="348">
        <f t="shared" si="92"/>
        <v>0.19287315496812132</v>
      </c>
      <c r="EI24" s="348">
        <f t="shared" si="93"/>
        <v>3.6219715378891154E-2</v>
      </c>
      <c r="EJ24" s="348">
        <f t="shared" si="94"/>
        <v>0</v>
      </c>
      <c r="EK24" s="348">
        <f t="shared" si="95"/>
        <v>0</v>
      </c>
      <c r="EL24" s="348">
        <f t="shared" si="96"/>
        <v>0</v>
      </c>
      <c r="EM24" s="348">
        <f t="shared" si="275"/>
        <v>1.6568786396697843</v>
      </c>
      <c r="EN24" s="348">
        <f t="shared" si="276"/>
        <v>0.48368850374505196</v>
      </c>
      <c r="EO24" s="348">
        <f t="shared" si="277"/>
        <v>6.9371159785925783E-3</v>
      </c>
      <c r="EP24" s="348">
        <f t="shared" si="278"/>
        <v>9.1811479596368026E-2</v>
      </c>
      <c r="EQ24" s="348">
        <f t="shared" si="279"/>
        <v>7.0169451304166505E-2</v>
      </c>
      <c r="ER24" s="348">
        <f t="shared" si="280"/>
        <v>8.6814454576566601E-4</v>
      </c>
      <c r="ES24" s="348">
        <f t="shared" si="281"/>
        <v>0.2082575615796077</v>
      </c>
      <c r="ET24" s="348">
        <f t="shared" si="282"/>
        <v>0.1164075330264146</v>
      </c>
      <c r="EU24" s="348">
        <f t="shared" si="283"/>
        <v>2.1860210224032908E-2</v>
      </c>
      <c r="EV24" s="348">
        <f t="shared" si="284"/>
        <v>0</v>
      </c>
      <c r="EW24" s="348">
        <f t="shared" si="285"/>
        <v>0</v>
      </c>
      <c r="EX24" s="348">
        <f t="shared" si="286"/>
        <v>0</v>
      </c>
      <c r="EY24" s="348">
        <f t="shared" si="287"/>
        <v>1</v>
      </c>
      <c r="EZ24" s="348">
        <f t="shared" si="100"/>
        <v>0.16488069228225463</v>
      </c>
      <c r="FA24" s="348">
        <f t="shared" si="101"/>
        <v>0.60542849843396396</v>
      </c>
      <c r="FB24" s="348">
        <f t="shared" si="102"/>
        <v>1.5033591984244319</v>
      </c>
      <c r="FC24" s="348">
        <f t="shared" si="288"/>
        <v>0.58500440311300794</v>
      </c>
      <c r="FD24" s="348">
        <f t="shared" si="289"/>
        <v>0.96626505793204953</v>
      </c>
      <c r="FE24" s="348">
        <f t="shared" ca="1" si="105"/>
        <v>0.12169045339227408</v>
      </c>
      <c r="FF24" s="348">
        <f t="shared" ca="1" si="290"/>
        <v>6.8675273175726366E-3</v>
      </c>
      <c r="FG24" s="348">
        <f t="shared" ca="1" si="291"/>
        <v>5.6434396669021232E-2</v>
      </c>
      <c r="FH24" s="348">
        <f t="shared" ca="1" si="292"/>
        <v>0.27098366196633317</v>
      </c>
      <c r="FI24" s="348">
        <f t="shared" ca="1" si="147"/>
        <v>9.2790227702431921E-2</v>
      </c>
      <c r="FJ24" s="348">
        <f t="shared" ca="1" si="293"/>
        <v>0.3424200080149486</v>
      </c>
      <c r="FK24" s="348">
        <f t="shared" ca="1" si="294"/>
        <v>9.2790227702431921E-2</v>
      </c>
      <c r="FL24" s="348">
        <f t="shared" ca="1" si="109"/>
        <v>9.2790227702431852E-2</v>
      </c>
      <c r="FM24" s="348"/>
      <c r="FN24" s="348"/>
      <c r="FO24" s="348"/>
      <c r="FP24" s="348">
        <f t="shared" ca="1" si="295"/>
        <v>1.8301774204230918</v>
      </c>
      <c r="FQ24" s="348">
        <f t="shared" ca="1" si="296"/>
        <v>0.16982257957690816</v>
      </c>
      <c r="FR24" s="348">
        <f t="shared" si="151"/>
        <v>0.33333333333333331</v>
      </c>
      <c r="FS24" s="348">
        <f t="shared" ca="1" si="297"/>
        <v>5.6607526525636054E-2</v>
      </c>
      <c r="FT24" s="348">
        <f t="shared" ca="1" si="298"/>
        <v>0.61005914014103058</v>
      </c>
      <c r="FU24" s="348">
        <f t="shared" si="299"/>
        <v>20.026666666666664</v>
      </c>
      <c r="FV24" s="348">
        <f t="shared" ca="1" si="300"/>
        <v>4.0672507808669502</v>
      </c>
      <c r="FW24" s="348">
        <f t="shared" ca="1" si="301"/>
        <v>24.585383347683532</v>
      </c>
      <c r="FX24" s="348">
        <f t="shared" ca="1" si="302"/>
        <v>48.679300795217145</v>
      </c>
      <c r="FY24" s="348">
        <f t="shared" ca="1" si="303"/>
        <v>41.140004764888346</v>
      </c>
      <c r="FZ24" s="348">
        <f t="shared" ca="1" si="304"/>
        <v>8.3551955644904563</v>
      </c>
      <c r="GA24" s="348">
        <f t="shared" ca="1" si="305"/>
        <v>50.504799670621203</v>
      </c>
      <c r="GB24" s="348">
        <f t="shared" ca="1" si="306"/>
        <v>91.508871021154604</v>
      </c>
      <c r="GC24" s="348">
        <f t="shared" ca="1" si="119"/>
        <v>1734639454.2610788</v>
      </c>
      <c r="GD24" s="345">
        <f t="shared" si="152"/>
        <v>38</v>
      </c>
      <c r="GE24" s="351">
        <f t="shared" ca="1" si="153"/>
        <v>1335.7249527245251</v>
      </c>
      <c r="GF24" s="351">
        <f t="shared" ca="1" si="120"/>
        <v>1335.1757799901284</v>
      </c>
      <c r="GG24" s="351">
        <f t="shared" ca="1" si="121"/>
        <v>1752.8568511374069</v>
      </c>
      <c r="GH24" s="345">
        <f t="shared" ca="1" si="122"/>
        <v>0.19861738110284616</v>
      </c>
      <c r="GI24" s="345">
        <f t="shared" ca="1" si="123"/>
        <v>1.6711388848131541</v>
      </c>
      <c r="GJ24" s="345">
        <f t="shared" ca="1" si="124"/>
        <v>-2.4817862321626634</v>
      </c>
      <c r="GK24" s="345">
        <f t="shared" ca="1" si="125"/>
        <v>1.8179127078952475</v>
      </c>
      <c r="GL24" s="345">
        <f t="shared" ca="1" si="154"/>
        <v>-0.19861738110284616</v>
      </c>
      <c r="GM24" s="351">
        <f t="shared" ca="1" si="155"/>
        <v>0.45506149651450883</v>
      </c>
      <c r="GN24" s="351">
        <f t="shared" ca="1" si="156"/>
        <v>9.4234574110167196E-2</v>
      </c>
      <c r="GO24" s="351">
        <f t="shared" ca="1" si="157"/>
        <v>-0.20916047247590983</v>
      </c>
      <c r="GP24" s="351">
        <f t="shared" ca="1" si="158"/>
        <v>-5.4627865309551202E-2</v>
      </c>
      <c r="GQ24" s="351">
        <f t="shared" ca="1" si="159"/>
        <v>0.30642081576219249</v>
      </c>
      <c r="GR24" s="351">
        <f t="shared" ca="1" si="160"/>
        <v>0.20708096561002431</v>
      </c>
      <c r="GS24" s="351">
        <f t="shared" ca="1" si="161"/>
        <v>-6.0298033056191427E-2</v>
      </c>
      <c r="GT24" s="351">
        <f t="shared" ca="1" si="162"/>
        <v>9.8032595621965726E-4</v>
      </c>
      <c r="GU24" s="351">
        <f t="shared" ca="1" si="163"/>
        <v>0.19699192928249401</v>
      </c>
      <c r="GV24" s="351">
        <f t="shared" ca="1" si="164"/>
        <v>-0.50428385829812872</v>
      </c>
      <c r="GW24" s="351">
        <f t="shared" ca="1" si="165"/>
        <v>0.1477695674988741</v>
      </c>
      <c r="GY24" s="356">
        <f t="shared" si="166"/>
        <v>0.12682512085561906</v>
      </c>
      <c r="GZ24" s="345">
        <f t="shared" si="167"/>
        <v>9.8748595574960601E-2</v>
      </c>
      <c r="HA24" s="345">
        <f t="shared" si="168"/>
        <v>5.7943255020377407E-2</v>
      </c>
      <c r="HB24" s="345">
        <f t="shared" si="169"/>
        <v>0.28351697145095706</v>
      </c>
      <c r="HC24" s="345">
        <f t="shared" si="170"/>
        <v>0.44732814478994021</v>
      </c>
      <c r="HD24" s="345">
        <f t="shared" si="171"/>
        <v>0.34829871054841666</v>
      </c>
      <c r="HE24" s="345">
        <f t="shared" si="172"/>
        <v>0.20437314466164319</v>
      </c>
      <c r="HF24" s="345">
        <f t="shared" si="127"/>
        <v>-1.3335469825256694</v>
      </c>
      <c r="HG24" s="345">
        <f t="shared" si="128"/>
        <v>-1.3295094764426985</v>
      </c>
      <c r="HH24" s="345">
        <f t="shared" si="173"/>
        <v>-1.3315282294841839</v>
      </c>
      <c r="HI24" s="345">
        <f t="shared" si="129"/>
        <v>2.3957221250156064</v>
      </c>
      <c r="HJ24" s="345">
        <f t="shared" si="130"/>
        <v>0.18584822769068862</v>
      </c>
      <c r="HK24" s="345">
        <f t="shared" si="131"/>
        <v>0.32989056201970296</v>
      </c>
      <c r="HL24" s="345">
        <f t="shared" si="132"/>
        <v>0.96008308043719948</v>
      </c>
    </row>
    <row r="25" spans="1:220" s="351" customFormat="1" ht="20.25">
      <c r="A25" s="330" t="s">
        <v>146</v>
      </c>
      <c r="B25" s="331">
        <v>0</v>
      </c>
      <c r="C25" s="332">
        <f t="shared" ca="1" si="241"/>
        <v>-5.2512490986084766</v>
      </c>
      <c r="D25" s="333">
        <f t="shared" ca="1" si="0"/>
        <v>-5.4367497800266538</v>
      </c>
      <c r="E25" s="334">
        <f t="shared" ca="1" si="1"/>
        <v>-5.2512490986084766</v>
      </c>
      <c r="F25" s="357">
        <v>48.225655696977263</v>
      </c>
      <c r="G25" s="357">
        <v>0.92783505154639179</v>
      </c>
      <c r="H25" s="357">
        <v>15.670103092783505</v>
      </c>
      <c r="I25" s="357">
        <v>8.3294456707425315</v>
      </c>
      <c r="J25" s="357">
        <v>0.10309278350515465</v>
      </c>
      <c r="K25" s="357">
        <v>13.54799141578536</v>
      </c>
      <c r="L25" s="357">
        <v>10.927835051546392</v>
      </c>
      <c r="M25" s="357">
        <v>2.2680412371134024</v>
      </c>
      <c r="N25" s="357">
        <v>0</v>
      </c>
      <c r="O25" s="358"/>
      <c r="P25" s="358"/>
      <c r="Q25" s="358"/>
      <c r="R25" s="335">
        <f t="shared" si="242"/>
        <v>100.00000000000001</v>
      </c>
      <c r="S25" s="336">
        <f t="shared" ca="1" si="2"/>
        <v>1.6773982440569939</v>
      </c>
      <c r="T25" s="337">
        <f t="shared" ca="1" si="135"/>
        <v>0.34211604918257049</v>
      </c>
      <c r="U25" s="338">
        <f t="shared" ca="1" si="243"/>
        <v>1407.3646973306138</v>
      </c>
      <c r="V25" s="338">
        <f t="shared" ca="1" si="244"/>
        <v>1388.3404650193231</v>
      </c>
      <c r="W25" s="339">
        <f t="shared" ca="1" si="4"/>
        <v>1396.1679577355937</v>
      </c>
      <c r="X25" s="340">
        <f t="shared" ca="1" si="5"/>
        <v>1466.0863380563146</v>
      </c>
      <c r="Y25" s="340">
        <f t="shared" ca="1" si="6"/>
        <v>1408.3269256715948</v>
      </c>
      <c r="Z25" s="341">
        <f t="shared" ca="1" si="7"/>
        <v>1437.0647542345728</v>
      </c>
      <c r="AA25" s="341">
        <f t="shared" ca="1" si="8"/>
        <v>1420.7983703234406</v>
      </c>
      <c r="AB25" s="341">
        <f t="shared" ca="1" si="136"/>
        <v>33.145729514603772</v>
      </c>
      <c r="AC25" s="342">
        <v>13.3</v>
      </c>
      <c r="AD25" s="343">
        <f t="shared" ca="1" si="9"/>
        <v>10.909988278241061</v>
      </c>
      <c r="AE25" s="344">
        <f t="shared" ca="1" si="10"/>
        <v>102.38398670131275</v>
      </c>
      <c r="AF25" s="344">
        <f t="shared" ca="1" si="11"/>
        <v>212.48885419178663</v>
      </c>
      <c r="AG25" s="345">
        <f t="shared" ca="1" si="12"/>
        <v>481.83226875939459</v>
      </c>
      <c r="AH25" s="345">
        <f t="shared" ca="1" si="13"/>
        <v>50.758300484721623</v>
      </c>
      <c r="AI25" s="332">
        <f t="shared" si="14"/>
        <v>0.29603266945479056</v>
      </c>
      <c r="AJ25" s="332">
        <f t="shared" ca="1" si="15"/>
        <v>1.6773982440569939</v>
      </c>
      <c r="AK25" s="332">
        <f t="shared" ca="1" si="16"/>
        <v>0.27891665023834333</v>
      </c>
      <c r="AL25" s="346">
        <f t="shared" ca="1" si="17"/>
        <v>0.27524172046704171</v>
      </c>
      <c r="AM25" s="332">
        <f t="shared" ca="1" si="18"/>
        <v>0.34211604918257049</v>
      </c>
      <c r="AN25" s="332">
        <f t="shared" ca="1" si="19"/>
        <v>0.34211604918257088</v>
      </c>
      <c r="AO25" s="347">
        <f t="shared" ca="1" si="245"/>
        <v>41.10846634270397</v>
      </c>
      <c r="AP25" s="347">
        <f t="shared" ca="1" si="246"/>
        <v>8.5233738059602047</v>
      </c>
      <c r="AQ25" s="347">
        <f t="shared" ca="1" si="247"/>
        <v>50.368159851335832</v>
      </c>
      <c r="AR25" s="348"/>
      <c r="AS25" s="53">
        <f t="shared" ca="1" si="138"/>
        <v>78.281907595453603</v>
      </c>
      <c r="AT25" s="335">
        <f t="shared" ca="1" si="139"/>
        <v>91.331311111662515</v>
      </c>
      <c r="AU25" s="349">
        <f t="shared" ca="1" si="23"/>
        <v>0.34211604918257088</v>
      </c>
      <c r="AV25" s="335">
        <f t="shared" si="248"/>
        <v>3.2987979623625634</v>
      </c>
      <c r="AW25" s="335">
        <f t="shared" ca="1" si="25"/>
        <v>3.338503490854019</v>
      </c>
      <c r="AX25" s="350">
        <f t="shared" ca="1" si="249"/>
        <v>1407.7249396033849</v>
      </c>
      <c r="AY25" s="350">
        <f t="shared" ca="1" si="250"/>
        <v>1407.3646973306138</v>
      </c>
      <c r="AZ25" s="350">
        <f t="shared" ca="1" si="28"/>
        <v>1388.3404650193231</v>
      </c>
      <c r="BA25" s="350"/>
      <c r="BB25" s="349">
        <f t="shared" ca="1" si="184"/>
        <v>0.10534433614297435</v>
      </c>
      <c r="BC25" s="349">
        <f t="shared" ca="1" si="251"/>
        <v>3.1028304508704852E-2</v>
      </c>
      <c r="BD25" s="335">
        <f t="shared" si="29"/>
        <v>6.2725578078347444E-2</v>
      </c>
      <c r="BE25" s="335">
        <f t="shared" ca="1" si="30"/>
        <v>0.14838390876901897</v>
      </c>
      <c r="BF25" s="335">
        <f t="shared" ca="1" si="31"/>
        <v>0.10576459800916474</v>
      </c>
      <c r="BH25" s="335">
        <f t="shared" ca="1" si="32"/>
        <v>6.4878473824998298E-2</v>
      </c>
      <c r="BI25" s="335">
        <f t="shared" ca="1" si="33"/>
        <v>0.10450325971536628</v>
      </c>
      <c r="BK25" s="344">
        <f t="shared" ca="1" si="142"/>
        <v>0.13558048983414023</v>
      </c>
      <c r="BL25" s="344">
        <f t="shared" si="34"/>
        <v>5.9993909219505183E-2</v>
      </c>
      <c r="BM25" s="344">
        <f t="shared" si="143"/>
        <v>7.3545773204859846E-2</v>
      </c>
      <c r="BN25" s="344">
        <f t="shared" si="35"/>
        <v>0.19817330351895351</v>
      </c>
      <c r="BO25" s="344">
        <f t="shared" si="36"/>
        <v>0.15025001286411749</v>
      </c>
      <c r="BP25" s="344">
        <f t="shared" si="37"/>
        <v>0.22127775989270004</v>
      </c>
      <c r="BQ25" s="352">
        <f t="shared" si="38"/>
        <v>1321.2032991208116</v>
      </c>
      <c r="BR25" s="353">
        <f t="shared" si="39"/>
        <v>2.2410730597002129</v>
      </c>
      <c r="BS25" s="352">
        <f t="shared" si="144"/>
        <v>1434.4286780499096</v>
      </c>
      <c r="BT25" s="354"/>
      <c r="BU25" s="348">
        <f t="shared" si="40"/>
        <v>0.80269067405088657</v>
      </c>
      <c r="BV25" s="348">
        <f t="shared" si="41"/>
        <v>1.1612453711469232E-2</v>
      </c>
      <c r="BW25" s="348">
        <f t="shared" si="42"/>
        <v>0.30737746356970391</v>
      </c>
      <c r="BX25" s="348">
        <f t="shared" si="43"/>
        <v>0.11592826264081464</v>
      </c>
      <c r="BY25" s="348">
        <f t="shared" si="44"/>
        <v>1.4532391246850106E-3</v>
      </c>
      <c r="BZ25" s="348">
        <f t="shared" si="45"/>
        <v>0.33617844704182037</v>
      </c>
      <c r="CA25" s="348">
        <f t="shared" si="46"/>
        <v>0.19486153800902983</v>
      </c>
      <c r="CB25" s="348">
        <f t="shared" si="47"/>
        <v>7.318622901301719E-2</v>
      </c>
      <c r="CC25" s="348">
        <f t="shared" si="48"/>
        <v>0</v>
      </c>
      <c r="CD25" s="348">
        <f t="shared" si="49"/>
        <v>0</v>
      </c>
      <c r="CE25" s="348">
        <f t="shared" si="50"/>
        <v>0</v>
      </c>
      <c r="CF25" s="348">
        <f t="shared" si="252"/>
        <v>1.8432883071614268</v>
      </c>
      <c r="CG25" s="348">
        <f t="shared" si="253"/>
        <v>0.43546669879710281</v>
      </c>
      <c r="CH25" s="348">
        <f t="shared" si="254"/>
        <v>6.2998575243781805E-3</v>
      </c>
      <c r="CI25" s="348">
        <f t="shared" si="255"/>
        <v>0.1667549576349508</v>
      </c>
      <c r="CJ25" s="348">
        <f t="shared" si="256"/>
        <v>6.2892094628071757E-2</v>
      </c>
      <c r="CK25" s="348">
        <f t="shared" si="257"/>
        <v>7.8839491306866006E-4</v>
      </c>
      <c r="CL25" s="348">
        <f t="shared" si="258"/>
        <v>0.18237974262394072</v>
      </c>
      <c r="CM25" s="348">
        <f t="shared" si="259"/>
        <v>0.10571408566525711</v>
      </c>
      <c r="CN25" s="348">
        <f t="shared" si="260"/>
        <v>3.9704168213229966E-2</v>
      </c>
      <c r="CO25" s="348">
        <f t="shared" si="261"/>
        <v>0</v>
      </c>
      <c r="CP25" s="348">
        <f t="shared" si="262"/>
        <v>0</v>
      </c>
      <c r="CQ25" s="348">
        <f t="shared" si="263"/>
        <v>0</v>
      </c>
      <c r="CR25" s="348"/>
      <c r="CS25" s="348">
        <f t="shared" ca="1" si="55"/>
        <v>0.68422880064420721</v>
      </c>
      <c r="CT25" s="348">
        <f t="shared" ca="1" si="56"/>
        <v>0.11862733202449834</v>
      </c>
      <c r="CU25" s="348">
        <f t="shared" ca="1" si="57"/>
        <v>1.2498302692639165</v>
      </c>
      <c r="CV25" s="348">
        <f t="shared" ca="1" si="58"/>
        <v>2.0526864019326219</v>
      </c>
      <c r="CW25" s="348">
        <f t="shared" ca="1" si="59"/>
        <v>0.33333333333333331</v>
      </c>
      <c r="CX25" s="348">
        <f t="shared" ca="1" si="60"/>
        <v>5.7791259255583163E-2</v>
      </c>
      <c r="CY25" s="348">
        <f t="shared" ca="1" si="61"/>
        <v>0.60887540741108359</v>
      </c>
      <c r="CZ25" s="348">
        <f t="shared" si="62"/>
        <v>0.35177431783033825</v>
      </c>
      <c r="DA25" s="348">
        <f t="shared" si="63"/>
        <v>0.43546669879710281</v>
      </c>
      <c r="DB25" s="348">
        <f t="shared" si="64"/>
        <v>-0.68273478805261079</v>
      </c>
      <c r="DC25" s="348"/>
      <c r="DD25" s="348">
        <f t="shared" ca="1" si="264"/>
        <v>1407.7249396033849</v>
      </c>
      <c r="DE25" s="348">
        <f t="shared" ca="1" si="265"/>
        <v>14432.033073111019</v>
      </c>
      <c r="DF25" s="348">
        <f t="shared" si="67"/>
        <v>8.5860242978673753</v>
      </c>
      <c r="DG25" s="348">
        <f t="shared" si="266"/>
        <v>1584.3078624132054</v>
      </c>
      <c r="DH25" s="348">
        <f t="shared" si="267"/>
        <v>1311.1578624132053</v>
      </c>
      <c r="DI25" s="348">
        <f t="shared" si="145"/>
        <v>13602.905801982104</v>
      </c>
      <c r="DJ25" s="348">
        <f t="shared" si="70"/>
        <v>8.5860242978673753</v>
      </c>
      <c r="DK25" s="348">
        <f t="shared" si="268"/>
        <v>1584.3078624132054</v>
      </c>
      <c r="DL25" s="348">
        <f t="shared" ca="1" si="72"/>
        <v>1.6773982440569939</v>
      </c>
      <c r="DM25" s="348">
        <f t="shared" si="73"/>
        <v>-0.68273478805261079</v>
      </c>
      <c r="DN25" s="348">
        <f t="shared" si="74"/>
        <v>0.35177431783033819</v>
      </c>
      <c r="DO25" s="348">
        <f t="shared" si="75"/>
        <v>0.43546669879710281</v>
      </c>
      <c r="DP25" s="348">
        <f t="shared" si="76"/>
        <v>3.2987979623625634</v>
      </c>
      <c r="DQ25" s="348">
        <f t="shared" ca="1" si="77"/>
        <v>14432.137952037367</v>
      </c>
      <c r="DR25" s="348">
        <f t="shared" si="269"/>
        <v>8.5858010706952381</v>
      </c>
      <c r="DS25" s="348">
        <f t="shared" ca="1" si="270"/>
        <v>1407.7808570281982</v>
      </c>
      <c r="DT25" s="348">
        <f t="shared" si="271"/>
        <v>1311.215782294847</v>
      </c>
      <c r="DU25" s="348">
        <f t="shared" ca="1" si="272"/>
        <v>1396.1679577355937</v>
      </c>
      <c r="DV25" s="355">
        <f t="shared" ca="1" si="82"/>
        <v>3.338503490854019</v>
      </c>
      <c r="DW25" s="348">
        <f t="shared" ca="1" si="83"/>
        <v>3.2475123406723601</v>
      </c>
      <c r="DX25" s="348">
        <f t="shared" ca="1" si="273"/>
        <v>4522.4078692651001</v>
      </c>
      <c r="DY25" s="348">
        <f t="shared" ca="1" si="274"/>
        <v>1392.5760381648888</v>
      </c>
      <c r="DZ25" s="348">
        <f t="shared" ca="1" si="85"/>
        <v>5.0591127701406231</v>
      </c>
      <c r="EA25" s="348"/>
      <c r="EB25" s="348">
        <f t="shared" si="86"/>
        <v>0.80269067405088657</v>
      </c>
      <c r="EC25" s="348">
        <f t="shared" si="87"/>
        <v>1.1612453711469232E-2</v>
      </c>
      <c r="ED25" s="348">
        <f t="shared" si="88"/>
        <v>0.15368873178485196</v>
      </c>
      <c r="EE25" s="348">
        <f t="shared" si="89"/>
        <v>0.11592826264081464</v>
      </c>
      <c r="EF25" s="348">
        <f t="shared" si="90"/>
        <v>1.4532391246850106E-3</v>
      </c>
      <c r="EG25" s="348">
        <f t="shared" si="91"/>
        <v>0.33617844704182037</v>
      </c>
      <c r="EH25" s="348">
        <f t="shared" si="92"/>
        <v>0.19486153800902983</v>
      </c>
      <c r="EI25" s="348">
        <f t="shared" si="93"/>
        <v>3.6593114506508595E-2</v>
      </c>
      <c r="EJ25" s="348">
        <f t="shared" si="94"/>
        <v>0</v>
      </c>
      <c r="EK25" s="348">
        <f t="shared" si="95"/>
        <v>0</v>
      </c>
      <c r="EL25" s="348">
        <f t="shared" si="96"/>
        <v>0</v>
      </c>
      <c r="EM25" s="348">
        <f t="shared" si="275"/>
        <v>1.6530064608700661</v>
      </c>
      <c r="EN25" s="348">
        <f t="shared" si="276"/>
        <v>0.48559439606085225</v>
      </c>
      <c r="EO25" s="348">
        <f t="shared" si="277"/>
        <v>7.0250504074599769E-3</v>
      </c>
      <c r="EP25" s="348">
        <f t="shared" si="278"/>
        <v>9.2975275912689004E-2</v>
      </c>
      <c r="EQ25" s="348">
        <f t="shared" si="279"/>
        <v>7.0131766199991355E-2</v>
      </c>
      <c r="ER25" s="348">
        <f t="shared" si="280"/>
        <v>8.7914908930246578E-4</v>
      </c>
      <c r="ES25" s="348">
        <f t="shared" si="281"/>
        <v>0.20337394620035035</v>
      </c>
      <c r="ET25" s="348">
        <f t="shared" si="282"/>
        <v>0.11788310730888719</v>
      </c>
      <c r="EU25" s="348">
        <f t="shared" si="283"/>
        <v>2.2137308820467449E-2</v>
      </c>
      <c r="EV25" s="348">
        <f t="shared" si="284"/>
        <v>0</v>
      </c>
      <c r="EW25" s="348">
        <f t="shared" si="285"/>
        <v>0</v>
      </c>
      <c r="EX25" s="348">
        <f t="shared" si="286"/>
        <v>0</v>
      </c>
      <c r="EY25" s="348">
        <f t="shared" si="287"/>
        <v>1</v>
      </c>
      <c r="EZ25" s="348">
        <f t="shared" si="100"/>
        <v>0.1667549576349508</v>
      </c>
      <c r="FA25" s="348">
        <f t="shared" si="101"/>
        <v>0.60852151395643173</v>
      </c>
      <c r="FB25" s="348">
        <f t="shared" si="102"/>
        <v>1.5052919510323415</v>
      </c>
      <c r="FC25" s="348">
        <f t="shared" si="288"/>
        <v>0.57649784623895606</v>
      </c>
      <c r="FD25" s="348">
        <f t="shared" si="289"/>
        <v>0.94737463346321649</v>
      </c>
      <c r="FE25" s="348">
        <f t="shared" ca="1" si="105"/>
        <v>0.12148290710080947</v>
      </c>
      <c r="FF25" s="348">
        <f t="shared" ca="1" si="290"/>
        <v>6.8544208865162388E-3</v>
      </c>
      <c r="FG25" s="348">
        <f t="shared" ca="1" si="291"/>
        <v>5.6422924426958877E-2</v>
      </c>
      <c r="FH25" s="348">
        <f t="shared" ca="1" si="292"/>
        <v>0.27743437879390315</v>
      </c>
      <c r="FI25" s="348">
        <f t="shared" ca="1" si="147"/>
        <v>9.4914753580390976E-2</v>
      </c>
      <c r="FJ25" s="348">
        <f t="shared" ca="1" si="293"/>
        <v>0.34211604918257088</v>
      </c>
      <c r="FK25" s="348">
        <f t="shared" ca="1" si="294"/>
        <v>9.4914753580390976E-2</v>
      </c>
      <c r="FL25" s="348">
        <f t="shared" ca="1" si="109"/>
        <v>9.4914753580390865E-2</v>
      </c>
      <c r="FM25" s="348"/>
      <c r="FN25" s="348"/>
      <c r="FO25" s="348"/>
      <c r="FP25" s="348">
        <f t="shared" ca="1" si="295"/>
        <v>1.8266262222332506</v>
      </c>
      <c r="FQ25" s="348">
        <f t="shared" ca="1" si="296"/>
        <v>0.17337377776674945</v>
      </c>
      <c r="FR25" s="348">
        <f t="shared" si="151"/>
        <v>0.33333333333333331</v>
      </c>
      <c r="FS25" s="348">
        <f t="shared" ca="1" si="297"/>
        <v>5.7791259255583149E-2</v>
      </c>
      <c r="FT25" s="348">
        <f t="shared" ca="1" si="298"/>
        <v>0.60887540741108348</v>
      </c>
      <c r="FU25" s="348">
        <f t="shared" si="299"/>
        <v>20.026666666666664</v>
      </c>
      <c r="FV25" s="348">
        <f t="shared" ca="1" si="300"/>
        <v>4.1523019775136492</v>
      </c>
      <c r="FW25" s="348">
        <f t="shared" ca="1" si="301"/>
        <v>24.537678918666664</v>
      </c>
      <c r="FX25" s="348">
        <f t="shared" ca="1" si="302"/>
        <v>48.716647562846973</v>
      </c>
      <c r="FY25" s="348">
        <f t="shared" ca="1" si="303"/>
        <v>41.10846634270397</v>
      </c>
      <c r="FZ25" s="348">
        <f t="shared" ca="1" si="304"/>
        <v>8.5233738059602047</v>
      </c>
      <c r="GA25" s="348">
        <f t="shared" ca="1" si="305"/>
        <v>50.368159851335832</v>
      </c>
      <c r="GB25" s="348">
        <f t="shared" ca="1" si="306"/>
        <v>91.331311111662515</v>
      </c>
      <c r="GC25" s="348">
        <f t="shared" ca="1" si="119"/>
        <v>1677398244.056994</v>
      </c>
      <c r="GD25" s="345">
        <f t="shared" si="152"/>
        <v>38</v>
      </c>
      <c r="GE25" s="351">
        <f t="shared" ca="1" si="153"/>
        <v>1329.1216324585685</v>
      </c>
      <c r="GF25" s="351">
        <f t="shared" ca="1" si="120"/>
        <v>1328.5652811429538</v>
      </c>
      <c r="GG25" s="351">
        <f t="shared" ca="1" si="121"/>
        <v>1749.3568780083181</v>
      </c>
      <c r="GH25" s="345">
        <f t="shared" ca="1" si="122"/>
        <v>0.18726470959654762</v>
      </c>
      <c r="GI25" s="345">
        <f t="shared" ca="1" si="123"/>
        <v>1.6884257302947878</v>
      </c>
      <c r="GJ25" s="345">
        <f t="shared" ca="1" si="124"/>
        <v>-2.5145282043993999</v>
      </c>
      <c r="GK25" s="345">
        <f t="shared" ca="1" si="125"/>
        <v>1.8334250758605544</v>
      </c>
      <c r="GL25" s="345">
        <f t="shared" ca="1" si="154"/>
        <v>-0.18726470959654762</v>
      </c>
      <c r="GM25" s="351">
        <f t="shared" ca="1" si="155"/>
        <v>0.45716406913422342</v>
      </c>
      <c r="GN25" s="351">
        <f t="shared" ca="1" si="156"/>
        <v>9.5546826933768203E-2</v>
      </c>
      <c r="GO25" s="351">
        <f t="shared" ca="1" si="157"/>
        <v>-0.21050425988370083</v>
      </c>
      <c r="GP25" s="351">
        <f t="shared" ca="1" si="158"/>
        <v>-5.1069637931250397E-2</v>
      </c>
      <c r="GQ25" s="351">
        <f t="shared" ca="1" si="159"/>
        <v>0.30697113515847596</v>
      </c>
      <c r="GR25" s="351">
        <f t="shared" ca="1" si="160"/>
        <v>0.20899898610736103</v>
      </c>
      <c r="GS25" s="351">
        <f t="shared" ca="1" si="161"/>
        <v>-6.3887795018682234E-2</v>
      </c>
      <c r="GT25" s="351">
        <f t="shared" ca="1" si="162"/>
        <v>9.4038978648767395E-4</v>
      </c>
      <c r="GU25" s="351">
        <f t="shared" ca="1" si="163"/>
        <v>0.19109760869832892</v>
      </c>
      <c r="GV25" s="351">
        <f t="shared" ca="1" si="164"/>
        <v>-0.51268118799841211</v>
      </c>
      <c r="GW25" s="351">
        <f t="shared" ca="1" si="165"/>
        <v>0.13558048983414023</v>
      </c>
      <c r="GY25" s="356">
        <f t="shared" si="166"/>
        <v>0.12420743624767923</v>
      </c>
      <c r="GZ25" s="345">
        <f t="shared" si="167"/>
        <v>0.10000032632014898</v>
      </c>
      <c r="HA25" s="345">
        <f t="shared" si="168"/>
        <v>5.8677739934952511E-2</v>
      </c>
      <c r="HB25" s="345">
        <f t="shared" si="169"/>
        <v>0.28288550250278072</v>
      </c>
      <c r="HC25" s="345">
        <f t="shared" si="170"/>
        <v>0.43907317677567548</v>
      </c>
      <c r="HD25" s="345">
        <f t="shared" si="171"/>
        <v>0.35350106469017795</v>
      </c>
      <c r="HE25" s="345">
        <f t="shared" si="172"/>
        <v>0.20742575853414658</v>
      </c>
      <c r="HF25" s="345">
        <f t="shared" si="127"/>
        <v>-1.3296309606547119</v>
      </c>
      <c r="HG25" s="345">
        <f t="shared" si="128"/>
        <v>-1.3262655684866891</v>
      </c>
      <c r="HH25" s="345">
        <f t="shared" si="173"/>
        <v>-1.3279482645707006</v>
      </c>
      <c r="HI25" s="345">
        <f t="shared" si="129"/>
        <v>2.4163822090873355</v>
      </c>
      <c r="HJ25" s="345">
        <f t="shared" si="130"/>
        <v>0.18319435427509562</v>
      </c>
      <c r="HK25" s="345">
        <f t="shared" si="131"/>
        <v>0.32867839548997474</v>
      </c>
      <c r="HL25" s="345">
        <f t="shared" si="132"/>
        <v>0.96284918793222096</v>
      </c>
    </row>
    <row r="26" spans="1:220" s="351" customFormat="1" ht="20.25">
      <c r="A26" s="330" t="s">
        <v>147</v>
      </c>
      <c r="B26" s="331">
        <v>0</v>
      </c>
      <c r="C26" s="332">
        <f t="shared" ref="C26:C27" ca="1" si="307">E26</f>
        <v>-6.1728840469039277</v>
      </c>
      <c r="D26" s="333">
        <f t="shared" ca="1" si="0"/>
        <v>-6.5234044389340564</v>
      </c>
      <c r="E26" s="334">
        <f t="shared" ca="1" si="1"/>
        <v>-6.1728840469039277</v>
      </c>
      <c r="F26" s="357">
        <v>49.491290322580646</v>
      </c>
      <c r="G26" s="357">
        <v>0.84096774193548396</v>
      </c>
      <c r="H26" s="357">
        <v>15.74258064516129</v>
      </c>
      <c r="I26" s="357">
        <v>8.5989999999999984</v>
      </c>
      <c r="J26" s="357">
        <v>0</v>
      </c>
      <c r="K26" s="357">
        <v>11.135806451612904</v>
      </c>
      <c r="L26" s="357">
        <v>11.933225806451613</v>
      </c>
      <c r="M26" s="357">
        <v>1.9638709677419353</v>
      </c>
      <c r="N26" s="357">
        <v>6.0322580645161314E-2</v>
      </c>
      <c r="O26" s="358"/>
      <c r="P26" s="358"/>
      <c r="Q26" s="358"/>
      <c r="R26" s="335">
        <f t="shared" ref="R26:R27" si="308">SUM(F26:P26)</f>
        <v>99.767064516129054</v>
      </c>
      <c r="S26" s="336">
        <f t="shared" ca="1" si="2"/>
        <v>1.1382493116231474</v>
      </c>
      <c r="T26" s="337">
        <f t="shared" ca="1" si="135"/>
        <v>0.34134687879319325</v>
      </c>
      <c r="U26" s="338">
        <f t="shared" ref="U26:U27" ca="1" si="309">AY26</f>
        <v>1319.7430755609132</v>
      </c>
      <c r="V26" s="338">
        <f t="shared" ref="V26:V27" ca="1" si="310">AZ26</f>
        <v>1311.1724223714552</v>
      </c>
      <c r="W26" s="339">
        <f t="shared" ca="1" si="4"/>
        <v>1314.6151297211579</v>
      </c>
      <c r="X26" s="340">
        <f t="shared" ca="1" si="5"/>
        <v>1350.2818550903753</v>
      </c>
      <c r="Y26" s="340">
        <f t="shared" ca="1" si="6"/>
        <v>1296.0337065268675</v>
      </c>
      <c r="Z26" s="341">
        <f t="shared" ca="1" si="7"/>
        <v>1317.3262954390004</v>
      </c>
      <c r="AA26" s="341">
        <f t="shared" ca="1" si="8"/>
        <v>1313.530862031992</v>
      </c>
      <c r="AB26" s="341">
        <f t="shared" ca="1" si="136"/>
        <v>27.594494516017271</v>
      </c>
      <c r="AC26" s="342">
        <v>13.3</v>
      </c>
      <c r="AD26" s="343">
        <f t="shared" ca="1" si="9"/>
        <v>10.335288741076345</v>
      </c>
      <c r="AE26" s="344">
        <f t="shared" ca="1" si="10"/>
        <v>94.741493675152014</v>
      </c>
      <c r="AF26" s="344">
        <f t="shared" ca="1" si="11"/>
        <v>211.8369177412886</v>
      </c>
      <c r="AG26" s="345">
        <f t="shared" ca="1" si="12"/>
        <v>447.23787848375679</v>
      </c>
      <c r="AH26" s="345">
        <f t="shared" ca="1" si="13"/>
        <v>14.122574955493258</v>
      </c>
      <c r="AI26" s="332">
        <f t="shared" si="14"/>
        <v>0.27024645306402095</v>
      </c>
      <c r="AJ26" s="332">
        <f t="shared" ca="1" si="15"/>
        <v>1.1382493116231474</v>
      </c>
      <c r="AK26" s="332">
        <f t="shared" ca="1" si="16"/>
        <v>0.28377159265428326</v>
      </c>
      <c r="AL26" s="346">
        <f t="shared" ca="1" si="17"/>
        <v>0.2773875026734744</v>
      </c>
      <c r="AM26" s="332">
        <f t="shared" ca="1" si="18"/>
        <v>0.34134687879319325</v>
      </c>
      <c r="AN26" s="332">
        <f t="shared" ca="1" si="19"/>
        <v>0.34134687879319303</v>
      </c>
      <c r="AO26" s="347">
        <f t="shared" ref="AO26:AO27" ca="1" si="311">FY26</f>
        <v>40.746621106883509</v>
      </c>
      <c r="AP26" s="347">
        <f t="shared" ref="AP26:AP27" ca="1" si="312">FZ26</f>
        <v>10.452908996044682</v>
      </c>
      <c r="AQ26" s="347">
        <f t="shared" ref="AQ26:AQ27" ca="1" si="313">GA26</f>
        <v>48.800469897071807</v>
      </c>
      <c r="AR26" s="348"/>
      <c r="AS26" s="53">
        <f t="shared" ca="1" si="138"/>
        <v>73.966588120589023</v>
      </c>
      <c r="AT26" s="335">
        <f t="shared" ca="1" si="139"/>
        <v>89.274470928943515</v>
      </c>
      <c r="AU26" s="349">
        <f t="shared" ca="1" si="23"/>
        <v>0.34134687879319303</v>
      </c>
      <c r="AV26" s="335">
        <f t="shared" ref="AV26:AV27" si="314">(0.666-(-0.049*CK26+0.027*CJ26))/(1*CL26+0.259*CK26+0.299*CJ26)</f>
        <v>3.8658985449551659</v>
      </c>
      <c r="AW26" s="335">
        <f t="shared" ca="1" si="25"/>
        <v>3.9125572856986368</v>
      </c>
      <c r="AX26" s="350">
        <f t="shared" ref="AX26:AX27" ca="1" si="315">(DE26/DF26)-273.15</f>
        <v>1318.9187609854289</v>
      </c>
      <c r="AY26" s="350">
        <f t="shared" ref="AY26:AY27" ca="1" si="316">(DK26-273.15)+54*DL26+2*DL26^2</f>
        <v>1319.7430755609132</v>
      </c>
      <c r="AZ26" s="350">
        <f t="shared" ca="1" si="28"/>
        <v>1311.1724223714552</v>
      </c>
      <c r="BA26" s="350"/>
      <c r="BB26" s="349">
        <f t="shared" ca="1" si="184"/>
        <v>3.1577323019624723E-2</v>
      </c>
      <c r="BC26" s="349">
        <f t="shared" ref="BC26:BC27" ca="1" si="317">STDEV(BE26,BI26)</f>
        <v>2.9020876912007849E-2</v>
      </c>
      <c r="BD26" s="335">
        <f t="shared" si="29"/>
        <v>4.8165161290323333E-3</v>
      </c>
      <c r="BE26" s="335">
        <f t="shared" ca="1" si="30"/>
        <v>0</v>
      </c>
      <c r="BF26" s="335">
        <f t="shared" ca="1" si="31"/>
        <v>8.0451058228544842E-2</v>
      </c>
      <c r="BH26" s="335">
        <f t="shared" ca="1" si="32"/>
        <v>0</v>
      </c>
      <c r="BI26" s="335">
        <f t="shared" ca="1" si="33"/>
        <v>4.1041717720921723E-2</v>
      </c>
      <c r="BK26" s="344">
        <f t="shared" ca="1" si="142"/>
        <v>7.392030541028638E-2</v>
      </c>
      <c r="BL26" s="344">
        <f t="shared" si="34"/>
        <v>-0.25826725726994321</v>
      </c>
      <c r="BM26" s="344" t="e">
        <f t="shared" si="143"/>
        <v>#NUM!</v>
      </c>
      <c r="BN26" s="344">
        <f t="shared" si="35"/>
        <v>0.20185176496618923</v>
      </c>
      <c r="BO26" s="344">
        <f t="shared" si="36"/>
        <v>0.20557531333340867</v>
      </c>
      <c r="BP26" s="344">
        <f t="shared" si="37"/>
        <v>0.39291024370065086</v>
      </c>
      <c r="BQ26" s="352">
        <f t="shared" si="38"/>
        <v>1271.8726877669094</v>
      </c>
      <c r="BR26" s="353">
        <f t="shared" si="39"/>
        <v>1.7282075822301362</v>
      </c>
      <c r="BS26" s="352">
        <f t="shared" si="144"/>
        <v>1360.4607245013804</v>
      </c>
      <c r="BT26" s="354"/>
      <c r="BU26" s="348">
        <f t="shared" si="40"/>
        <v>0.82375649671405871</v>
      </c>
      <c r="BV26" s="348">
        <f t="shared" si="41"/>
        <v>1.0525253340869636E-2</v>
      </c>
      <c r="BW26" s="348">
        <f t="shared" si="42"/>
        <v>0.30879914957162202</v>
      </c>
      <c r="BX26" s="348">
        <f t="shared" si="43"/>
        <v>0.11967988865692414</v>
      </c>
      <c r="BY26" s="348">
        <f t="shared" si="44"/>
        <v>0</v>
      </c>
      <c r="BZ26" s="348">
        <f t="shared" si="45"/>
        <v>0.27632274073481156</v>
      </c>
      <c r="CA26" s="348">
        <f t="shared" si="46"/>
        <v>0.2127893332106208</v>
      </c>
      <c r="CB26" s="348">
        <f t="shared" si="47"/>
        <v>6.3371118675118923E-2</v>
      </c>
      <c r="CC26" s="348">
        <f t="shared" si="48"/>
        <v>1.280734196287926E-3</v>
      </c>
      <c r="CD26" s="348">
        <f t="shared" si="49"/>
        <v>0</v>
      </c>
      <c r="CE26" s="348">
        <f t="shared" si="50"/>
        <v>0</v>
      </c>
      <c r="CF26" s="348">
        <f t="shared" ref="CF26:CF27" si="318">SUM(BU26:CE26)</f>
        <v>1.8165247151003139</v>
      </c>
      <c r="CG26" s="348">
        <f t="shared" ref="CG26:CG27" si="319">BU26/$CF26</f>
        <v>0.45347937733319993</v>
      </c>
      <c r="CH26" s="348">
        <f t="shared" ref="CH26:CH27" si="320">BV26/$CF26</f>
        <v>5.7941701829740313E-3</v>
      </c>
      <c r="CI26" s="348">
        <f t="shared" ref="CI26:CI27" si="321">BW26/$CF26</f>
        <v>0.16999446635911541</v>
      </c>
      <c r="CJ26" s="348">
        <f t="shared" ref="CJ26:CJ27" si="322">BX26/$CF26</f>
        <v>6.5883985867109474E-2</v>
      </c>
      <c r="CK26" s="348">
        <f t="shared" ref="CK26:CK27" si="323">BY26/$CF26</f>
        <v>0</v>
      </c>
      <c r="CL26" s="348">
        <f t="shared" ref="CL26:CL27" si="324">BZ26/$CF26</f>
        <v>0.15211614707898549</v>
      </c>
      <c r="CM26" s="348">
        <f t="shared" ref="CM26:CM27" si="325">CA26/$CF26</f>
        <v>0.11714089626293356</v>
      </c>
      <c r="CN26" s="348">
        <f t="shared" ref="CN26:CN27" si="326">CB26/$CF26</f>
        <v>3.4885910523721878E-2</v>
      </c>
      <c r="CO26" s="348">
        <f t="shared" ref="CO26:CO27" si="327">CC26/$CF26</f>
        <v>7.050463919601556E-4</v>
      </c>
      <c r="CP26" s="348">
        <f t="shared" ref="CP26:CP27" si="328">CD26/CF26</f>
        <v>0</v>
      </c>
      <c r="CQ26" s="348">
        <f t="shared" ref="CQ26:CQ27" si="329">CE26/CF26</f>
        <v>0</v>
      </c>
      <c r="CR26" s="348"/>
      <c r="CS26" s="348">
        <f t="shared" ca="1" si="55"/>
        <v>0.6782060770120425</v>
      </c>
      <c r="CT26" s="348">
        <f t="shared" ca="1" si="56"/>
        <v>0.14548237990319671</v>
      </c>
      <c r="CU26" s="348">
        <f t="shared" ca="1" si="57"/>
        <v>1.2109297741208886</v>
      </c>
      <c r="CV26" s="348">
        <f t="shared" ca="1" si="58"/>
        <v>2.034618231036128</v>
      </c>
      <c r="CW26" s="348">
        <f t="shared" ca="1" si="59"/>
        <v>0.33333333333333326</v>
      </c>
      <c r="CX26" s="348">
        <f t="shared" ca="1" si="60"/>
        <v>7.1503527140376555E-2</v>
      </c>
      <c r="CY26" s="348">
        <f t="shared" ca="1" si="61"/>
        <v>0.59516313952629007</v>
      </c>
      <c r="CZ26" s="348">
        <f t="shared" si="62"/>
        <v>0.33514102920902855</v>
      </c>
      <c r="DA26" s="348">
        <f t="shared" si="63"/>
        <v>0.45347937733319993</v>
      </c>
      <c r="DB26" s="348">
        <f t="shared" si="64"/>
        <v>-0.69280733969850872</v>
      </c>
      <c r="DC26" s="348"/>
      <c r="DD26" s="348">
        <f t="shared" ref="DD26:DD27" ca="1" si="330">(DE26/DF26)-273.15</f>
        <v>1318.9187609854289</v>
      </c>
      <c r="DE26" s="348">
        <f t="shared" ref="DE26:DE27" ca="1" si="331">113.1*1000/8.3144+(DL26*10^9-10^5)*4.11*(10^-6)/8.3144</f>
        <v>14165.519300342916</v>
      </c>
      <c r="DF26" s="348">
        <f t="shared" si="67"/>
        <v>8.8975549596080317</v>
      </c>
      <c r="DG26" s="348">
        <f t="shared" ref="DG26:DG27" si="332">DI26/DJ26</f>
        <v>1528.8363897424422</v>
      </c>
      <c r="DH26" s="348">
        <f t="shared" ref="DH26:DH27" si="333">DG26-273.15</f>
        <v>1255.6863897424423</v>
      </c>
      <c r="DI26" s="348">
        <f t="shared" si="145"/>
        <v>13602.905801982104</v>
      </c>
      <c r="DJ26" s="348">
        <f t="shared" si="70"/>
        <v>8.8975549596080317</v>
      </c>
      <c r="DK26" s="348">
        <f t="shared" ref="DK26:DK27" si="334">DI26/DJ26</f>
        <v>1528.8363897424422</v>
      </c>
      <c r="DL26" s="348">
        <f t="shared" ca="1" si="72"/>
        <v>1.1382493116231474</v>
      </c>
      <c r="DM26" s="348">
        <f t="shared" si="73"/>
        <v>-0.69280733969850872</v>
      </c>
      <c r="DN26" s="348">
        <f t="shared" si="74"/>
        <v>0.33514102920902855</v>
      </c>
      <c r="DO26" s="348">
        <f t="shared" si="75"/>
        <v>0.45347937733319993</v>
      </c>
      <c r="DP26" s="348">
        <f t="shared" si="76"/>
        <v>3.8658985449551659</v>
      </c>
      <c r="DQ26" s="348">
        <f t="shared" ca="1" si="77"/>
        <v>14165.636634735316</v>
      </c>
      <c r="DR26" s="348">
        <f t="shared" ref="DR26:DR27" si="335">6.26+2*LN(DP26)+2*LN(1.5*DN26)+2*LN(3*DO26)-DM26</f>
        <v>8.8973317324358963</v>
      </c>
      <c r="DS26" s="348">
        <f t="shared" ref="DS26:DS27" ca="1" si="336">(DQ26/DR26)-273.15</f>
        <v>1318.9718923526721</v>
      </c>
      <c r="DT26" s="348">
        <f t="shared" ref="DT26:DT27" si="337">(13603+4.943*10^-7*(0.0001*10^9-10^-5))/(6.26+2*LN(DP26)+2*LN(1.5*DN26)+2*LN(3*DO26)-DM26)-273.15</f>
        <v>1255.7408898843291</v>
      </c>
      <c r="DU26" s="348">
        <f t="shared" ref="DU26:DU27" ca="1" si="338">DT26+54*DL26-2*DL26^2</f>
        <v>1314.6151297211579</v>
      </c>
      <c r="DV26" s="355">
        <f t="shared" ca="1" si="82"/>
        <v>3.9125572856986368</v>
      </c>
      <c r="DW26" s="348">
        <f t="shared" ca="1" si="83"/>
        <v>3.4186536974711945</v>
      </c>
      <c r="DX26" s="348">
        <f t="shared" ref="DX26:DX27" ca="1" si="339">55.09*DL26+4430</f>
        <v>4492.7061545773195</v>
      </c>
      <c r="DY26" s="348">
        <f t="shared" ref="DY26:DY27" ca="1" si="340">DX26/DW26</f>
        <v>1314.174102483855</v>
      </c>
      <c r="DZ26" s="348">
        <f t="shared" ca="1" si="85"/>
        <v>5.8100776747982081</v>
      </c>
      <c r="EA26" s="348"/>
      <c r="EB26" s="348">
        <f t="shared" si="86"/>
        <v>0.82375649671405871</v>
      </c>
      <c r="EC26" s="348">
        <f t="shared" si="87"/>
        <v>1.0525253340869636E-2</v>
      </c>
      <c r="ED26" s="348">
        <f t="shared" si="88"/>
        <v>0.15439957478581101</v>
      </c>
      <c r="EE26" s="348">
        <f t="shared" si="89"/>
        <v>0.11967988865692414</v>
      </c>
      <c r="EF26" s="348">
        <f t="shared" si="90"/>
        <v>0</v>
      </c>
      <c r="EG26" s="348">
        <f t="shared" si="91"/>
        <v>0.27632274073481156</v>
      </c>
      <c r="EH26" s="348">
        <f t="shared" si="92"/>
        <v>0.2127893332106208</v>
      </c>
      <c r="EI26" s="348">
        <f t="shared" si="93"/>
        <v>3.1685559337559462E-2</v>
      </c>
      <c r="EJ26" s="348">
        <f t="shared" si="94"/>
        <v>6.4036709814396298E-4</v>
      </c>
      <c r="EK26" s="348">
        <f t="shared" si="95"/>
        <v>0</v>
      </c>
      <c r="EL26" s="348">
        <f t="shared" si="96"/>
        <v>0</v>
      </c>
      <c r="EM26" s="348">
        <f t="shared" ref="EM26:EM27" si="341">SUM(EB26:EL26)</f>
        <v>1.6297992138787993</v>
      </c>
      <c r="EN26" s="348">
        <f t="shared" ref="EN26:EN27" si="342">EB26/$EM26</f>
        <v>0.5054343441199608</v>
      </c>
      <c r="EO26" s="348">
        <f t="shared" ref="EO26:EO27" si="343">EC26/$EM26</f>
        <v>6.4580061465487684E-3</v>
      </c>
      <c r="EP26" s="348">
        <f t="shared" ref="EP26:EP27" si="344">ED26/$EM26</f>
        <v>9.473533516950941E-2</v>
      </c>
      <c r="EQ26" s="348">
        <f t="shared" ref="EQ26:EQ27" si="345">EE26/$EM26</f>
        <v>7.34322900868844E-2</v>
      </c>
      <c r="ER26" s="348">
        <f t="shared" ref="ER26:ER27" si="346">EF26/$EM26</f>
        <v>0</v>
      </c>
      <c r="ES26" s="348">
        <f t="shared" ref="ES26:ES27" si="347">EG26/$EM26</f>
        <v>0.16954403854275046</v>
      </c>
      <c r="ET26" s="348">
        <f t="shared" ref="ET26:ET27" si="348">EH26/$EM26</f>
        <v>0.13056168600314771</v>
      </c>
      <c r="EU26" s="348">
        <f t="shared" ref="EU26:EU27" si="349">EI26/$EM26</f>
        <v>1.9441388281290318E-2</v>
      </c>
      <c r="EV26" s="348">
        <f t="shared" ref="EV26:EV27" si="350">EJ26/$EM26</f>
        <v>3.9291164990805068E-4</v>
      </c>
      <c r="EW26" s="348">
        <f t="shared" ref="EW26:EW27" si="351">EK26/$EM26</f>
        <v>0</v>
      </c>
      <c r="EX26" s="348">
        <f t="shared" ref="EX26:EX27" si="352">EL26/$EM26</f>
        <v>0</v>
      </c>
      <c r="EY26" s="348">
        <f t="shared" ref="EY26:EY27" si="353">SUM(EN26:EX26)</f>
        <v>0.99999999999999989</v>
      </c>
      <c r="EZ26" s="348">
        <f t="shared" si="100"/>
        <v>0.16999446635911541</v>
      </c>
      <c r="FA26" s="348">
        <f t="shared" si="101"/>
        <v>0.6292680138752893</v>
      </c>
      <c r="FB26" s="348">
        <f t="shared" si="102"/>
        <v>1.5264753022378903</v>
      </c>
      <c r="FC26" s="348">
        <f t="shared" ref="FC26:FC27" si="354">(2*FB26-4*FA26)</f>
        <v>0.53587854897462339</v>
      </c>
      <c r="FD26" s="348">
        <f t="shared" ref="FD26:FD27" si="355">FC26/FA26</f>
        <v>0.85159031948003294</v>
      </c>
      <c r="FE26" s="348">
        <f t="shared" ca="1" si="105"/>
        <v>0.11528885674962813</v>
      </c>
      <c r="FF26" s="348">
        <f t="shared" ref="FF26:FF27" ca="1" si="356">EQ26*FE26/(1+2*FE26)</f>
        <v>6.8796344024062888E-3</v>
      </c>
      <c r="FG26" s="348">
        <f t="shared" ref="FG26:FG27" ca="1" si="357">EQ26-2*FF26</f>
        <v>5.9673021282071824E-2</v>
      </c>
      <c r="FH26" s="348">
        <f t="shared" ref="FH26:FH27" ca="1" si="358">FG26/ES26</f>
        <v>0.35196177816081275</v>
      </c>
      <c r="FI26" s="348">
        <f t="shared" ca="1" si="147"/>
        <v>0.12014105442969564</v>
      </c>
      <c r="FJ26" s="348">
        <f t="shared" ref="FJ26:FJ27" ca="1" si="359">FI26/FH26</f>
        <v>0.34134687879319303</v>
      </c>
      <c r="FK26" s="348">
        <f t="shared" ref="FK26:FK27" ca="1" si="360">FQ26/FP26</f>
        <v>0.12014105442969562</v>
      </c>
      <c r="FL26" s="348">
        <f t="shared" ca="1" si="109"/>
        <v>0.12014105442969572</v>
      </c>
      <c r="FM26" s="348"/>
      <c r="FN26" s="348"/>
      <c r="FO26" s="348"/>
      <c r="FP26" s="348">
        <f t="shared" ref="FP26:FP27" ca="1" si="361">2/(1+FL26)</f>
        <v>1.7854894185788703</v>
      </c>
      <c r="FQ26" s="348">
        <f t="shared" ref="FQ26:FQ27" ca="1" si="362">2-FP26</f>
        <v>0.21451058142112966</v>
      </c>
      <c r="FR26" s="348">
        <f t="shared" si="151"/>
        <v>0.33333333333333331</v>
      </c>
      <c r="FS26" s="348">
        <f t="shared" ref="FS26:FS27" ca="1" si="363">FQ26/3</f>
        <v>7.1503527140376555E-2</v>
      </c>
      <c r="FT26" s="348">
        <f t="shared" ref="FT26:FT27" ca="1" si="364">FP26/3</f>
        <v>0.59516313952629007</v>
      </c>
      <c r="FU26" s="348">
        <f t="shared" ref="FU26:FU27" si="365">60.08*FR26</f>
        <v>20.026666666666664</v>
      </c>
      <c r="FV26" s="348">
        <f t="shared" ref="FV26:FV27" ca="1" si="366">71.85*FS26</f>
        <v>5.1375284250360549</v>
      </c>
      <c r="FW26" s="348">
        <f t="shared" ref="FW26:FW27" ca="1" si="367">40.3*FT26</f>
        <v>23.985074522909489</v>
      </c>
      <c r="FX26" s="348">
        <f t="shared" ref="FX26:FX27" ca="1" si="368">SUM(FU26:FW26)</f>
        <v>49.149269614612209</v>
      </c>
      <c r="FY26" s="348">
        <f t="shared" ref="FY26:FY27" ca="1" si="369">100*FU26/$FX26</f>
        <v>40.746621106883509</v>
      </c>
      <c r="FZ26" s="348">
        <f t="shared" ref="FZ26:FZ27" ca="1" si="370">100*FV26/$FX26</f>
        <v>10.452908996044682</v>
      </c>
      <c r="GA26" s="348">
        <f t="shared" ref="GA26:GA27" ca="1" si="371">100*FW26/$FX26</f>
        <v>48.800469897071807</v>
      </c>
      <c r="GB26" s="348">
        <f t="shared" ref="GB26:GB27" ca="1" si="372">100*GA26/40.3/(GA26/40.3+FZ26/71.85)</f>
        <v>89.274470928943501</v>
      </c>
      <c r="GC26" s="348">
        <f t="shared" ca="1" si="119"/>
        <v>1138249311.6231472</v>
      </c>
      <c r="GD26" s="345">
        <f t="shared" si="152"/>
        <v>38</v>
      </c>
      <c r="GE26" s="351">
        <f t="shared" ca="1" si="153"/>
        <v>1265.2727728603961</v>
      </c>
      <c r="GF26" s="351">
        <f t="shared" ca="1" si="120"/>
        <v>1264.6605324421407</v>
      </c>
      <c r="GG26" s="351">
        <f t="shared" ca="1" si="121"/>
        <v>1715.3463060299512</v>
      </c>
      <c r="GH26" s="345">
        <f t="shared" ca="1" si="122"/>
        <v>0.12221939618877353</v>
      </c>
      <c r="GI26" s="345">
        <f t="shared" ca="1" si="123"/>
        <v>1.8512487078898094</v>
      </c>
      <c r="GJ26" s="345">
        <f t="shared" ca="1" si="124"/>
        <v>-2.8229213937515598</v>
      </c>
      <c r="GK26" s="345">
        <f t="shared" ca="1" si="125"/>
        <v>1.9795344365501268</v>
      </c>
      <c r="GL26" s="345">
        <f t="shared" ca="1" si="154"/>
        <v>-0.12221939618877353</v>
      </c>
      <c r="GM26" s="351">
        <f t="shared" ca="1" si="155"/>
        <v>0.47535106262515314</v>
      </c>
      <c r="GN26" s="351">
        <f t="shared" ca="1" si="156"/>
        <v>0.10740967618174491</v>
      </c>
      <c r="GO26" s="351">
        <f t="shared" ca="1" si="157"/>
        <v>-0.2222727284331785</v>
      </c>
      <c r="GP26" s="351">
        <f t="shared" ca="1" si="158"/>
        <v>-3.0870742618091005E-2</v>
      </c>
      <c r="GQ26" s="351">
        <f t="shared" ca="1" si="159"/>
        <v>0.31173132997138964</v>
      </c>
      <c r="GR26" s="351">
        <f t="shared" ca="1" si="160"/>
        <v>0.22595863273886227</v>
      </c>
      <c r="GS26" s="351">
        <f t="shared" ca="1" si="161"/>
        <v>-8.3992309633342588E-2</v>
      </c>
      <c r="GT26" s="351">
        <f t="shared" ca="1" si="162"/>
        <v>6.3102592442077789E-4</v>
      </c>
      <c r="GU26" s="351">
        <f t="shared" ca="1" si="163"/>
        <v>0.15433301308312572</v>
      </c>
      <c r="GV26" s="351">
        <f t="shared" ca="1" si="164"/>
        <v>-0.55576377029799251</v>
      </c>
      <c r="GW26" s="351">
        <f t="shared" ca="1" si="165"/>
        <v>7.392030541028638E-2</v>
      </c>
      <c r="GY26" s="356">
        <f t="shared" si="166"/>
        <v>0.10472003892690043</v>
      </c>
      <c r="GZ26" s="345">
        <f t="shared" si="167"/>
        <v>0.10119334131605817</v>
      </c>
      <c r="HA26" s="345">
        <f t="shared" si="168"/>
        <v>8.2411818371796119E-2</v>
      </c>
      <c r="HB26" s="345">
        <f t="shared" si="169"/>
        <v>0.2883251986147547</v>
      </c>
      <c r="HC26" s="345">
        <f t="shared" si="170"/>
        <v>0.36320113340777394</v>
      </c>
      <c r="HD26" s="345">
        <f t="shared" si="171"/>
        <v>0.35096946712336269</v>
      </c>
      <c r="HE26" s="345">
        <f t="shared" si="172"/>
        <v>0.28582939946886349</v>
      </c>
      <c r="HF26" s="345">
        <f t="shared" si="127"/>
        <v>-1.2074416437937632</v>
      </c>
      <c r="HG26" s="345">
        <f t="shared" si="128"/>
        <v>-1.211186135273435</v>
      </c>
      <c r="HH26" s="345">
        <f t="shared" si="173"/>
        <v>-1.2093138895335991</v>
      </c>
      <c r="HI26" s="345">
        <f t="shared" si="129"/>
        <v>2.9685478036034287</v>
      </c>
      <c r="HJ26" s="345">
        <f t="shared" si="130"/>
        <v>0.12229319068049532</v>
      </c>
      <c r="HK26" s="345">
        <f t="shared" si="131"/>
        <v>0.31877140311027463</v>
      </c>
      <c r="HL26" s="345">
        <f t="shared" si="132"/>
        <v>0.93266658913827205</v>
      </c>
    </row>
    <row r="27" spans="1:220" s="351" customFormat="1" ht="20.25">
      <c r="A27" s="330" t="s">
        <v>148</v>
      </c>
      <c r="B27" s="331">
        <v>0</v>
      </c>
      <c r="C27" s="332">
        <f t="shared" ca="1" si="307"/>
        <v>-5.0491705165960656</v>
      </c>
      <c r="D27" s="333">
        <f t="shared" ca="1" si="0"/>
        <v>-5.2297761448975084</v>
      </c>
      <c r="E27" s="334">
        <f t="shared" ca="1" si="1"/>
        <v>-5.049170516596063</v>
      </c>
      <c r="F27" s="357">
        <v>48.61254120342943</v>
      </c>
      <c r="G27" s="357">
        <v>0.75687096774193563</v>
      </c>
      <c r="H27" s="357">
        <v>14.168322580645162</v>
      </c>
      <c r="I27" s="357">
        <v>8.8072256645991498</v>
      </c>
      <c r="J27" s="357">
        <v>0</v>
      </c>
      <c r="K27" s="357">
        <v>14.883720228745615</v>
      </c>
      <c r="L27" s="357">
        <v>10.739903225806453</v>
      </c>
      <c r="M27" s="357">
        <v>1.7674838709677418</v>
      </c>
      <c r="N27" s="357">
        <v>5.4290322580645187E-2</v>
      </c>
      <c r="O27" s="358"/>
      <c r="P27" s="358"/>
      <c r="Q27" s="358"/>
      <c r="R27" s="335">
        <f t="shared" si="308"/>
        <v>99.790358064516127</v>
      </c>
      <c r="S27" s="336">
        <f t="shared" ca="1" si="2"/>
        <v>1.6906731297436646</v>
      </c>
      <c r="T27" s="337">
        <f t="shared" ca="1" si="135"/>
        <v>0.34385199142646566</v>
      </c>
      <c r="U27" s="338">
        <f t="shared" ca="1" si="309"/>
        <v>1431.6785575441395</v>
      </c>
      <c r="V27" s="338">
        <f t="shared" ca="1" si="310"/>
        <v>1414.4360789323125</v>
      </c>
      <c r="W27" s="339">
        <f t="shared" ca="1" si="4"/>
        <v>1420.3044545801154</v>
      </c>
      <c r="X27" s="340">
        <f t="shared" ca="1" si="5"/>
        <v>1514.569341273826</v>
      </c>
      <c r="Y27" s="340">
        <f t="shared" ca="1" si="6"/>
        <v>1466.2507374464747</v>
      </c>
      <c r="Z27" s="341">
        <f t="shared" ca="1" si="7"/>
        <v>1492.3078741481438</v>
      </c>
      <c r="AA27" s="341">
        <f t="shared" ca="1" si="8"/>
        <v>1468.9687224902752</v>
      </c>
      <c r="AB27" s="341">
        <f t="shared" ca="1" si="136"/>
        <v>33.609350802407583</v>
      </c>
      <c r="AC27" s="342">
        <v>13.3</v>
      </c>
      <c r="AD27" s="343">
        <f t="shared" ca="1" si="9"/>
        <v>11.103961806980308</v>
      </c>
      <c r="AE27" s="344">
        <f t="shared" ca="1" si="10"/>
        <v>104.76361918591792</v>
      </c>
      <c r="AF27" s="344">
        <f t="shared" ca="1" si="11"/>
        <v>212.70114267832366</v>
      </c>
      <c r="AG27" s="345">
        <f t="shared" ca="1" si="12"/>
        <v>492.53905205556924</v>
      </c>
      <c r="AH27" s="345">
        <f t="shared" ca="1" si="13"/>
        <v>73.305813418724412</v>
      </c>
      <c r="AI27" s="332">
        <f t="shared" si="14"/>
        <v>0.31159058604370932</v>
      </c>
      <c r="AJ27" s="332">
        <f t="shared" ca="1" si="15"/>
        <v>1.690673129743659</v>
      </c>
      <c r="AK27" s="332">
        <f t="shared" ca="1" si="16"/>
        <v>0.28155440045133778</v>
      </c>
      <c r="AL27" s="346">
        <f t="shared" ca="1" si="17"/>
        <v>0.27853407554217152</v>
      </c>
      <c r="AM27" s="332">
        <f t="shared" ca="1" si="18"/>
        <v>0.34385199142646566</v>
      </c>
      <c r="AN27" s="332">
        <f t="shared" ca="1" si="19"/>
        <v>0.34385199142646578</v>
      </c>
      <c r="AO27" s="347">
        <f t="shared" ca="1" si="311"/>
        <v>41.14514325311962</v>
      </c>
      <c r="AP27" s="347">
        <f t="shared" ca="1" si="312"/>
        <v>8.3277946403257328</v>
      </c>
      <c r="AQ27" s="347">
        <f t="shared" ca="1" si="313"/>
        <v>50.527062106554652</v>
      </c>
      <c r="AR27" s="348"/>
      <c r="AS27" s="53">
        <f t="shared" ca="1" si="138"/>
        <v>78.811420383176355</v>
      </c>
      <c r="AT27" s="335">
        <f t="shared" ca="1" si="139"/>
        <v>91.537774692779664</v>
      </c>
      <c r="AU27" s="349">
        <f t="shared" ca="1" si="23"/>
        <v>0.34385199142646578</v>
      </c>
      <c r="AV27" s="335">
        <f t="shared" si="314"/>
        <v>3.0072832468935364</v>
      </c>
      <c r="AW27" s="335">
        <f t="shared" ca="1" si="25"/>
        <v>3.0372221412659721</v>
      </c>
      <c r="AX27" s="350">
        <f t="shared" ca="1" si="315"/>
        <v>1433.4409895088597</v>
      </c>
      <c r="AY27" s="350">
        <f t="shared" ca="1" si="316"/>
        <v>1431.6785575441395</v>
      </c>
      <c r="AZ27" s="350">
        <f t="shared" ca="1" si="28"/>
        <v>1414.4360789323125</v>
      </c>
      <c r="BA27" s="350"/>
      <c r="BB27" s="349">
        <f t="shared" ca="1" si="184"/>
        <v>0.14883248975444502</v>
      </c>
      <c r="BC27" s="349">
        <f t="shared" ca="1" si="317"/>
        <v>2.1381855707644511E-2</v>
      </c>
      <c r="BD27" s="335">
        <f t="shared" si="29"/>
        <v>0.11212216206280567</v>
      </c>
      <c r="BE27" s="335">
        <f t="shared" ca="1" si="30"/>
        <v>0.18184667798769555</v>
      </c>
      <c r="BF27" s="335">
        <f t="shared" ca="1" si="31"/>
        <v>0.14975295131003413</v>
      </c>
      <c r="BH27" s="335">
        <f t="shared" ca="1" si="32"/>
        <v>0.11018924979942575</v>
      </c>
      <c r="BI27" s="335">
        <f t="shared" ca="1" si="33"/>
        <v>0.15160816765724164</v>
      </c>
      <c r="BK27" s="344">
        <f t="shared" ca="1" si="142"/>
        <v>0.18970030652697534</v>
      </c>
      <c r="BL27" s="344">
        <f t="shared" si="34"/>
        <v>0.10022538783350843</v>
      </c>
      <c r="BM27" s="344">
        <f t="shared" si="143"/>
        <v>0.14335675976356727</v>
      </c>
      <c r="BN27" s="344">
        <f t="shared" si="35"/>
        <v>0.25589350836317515</v>
      </c>
      <c r="BO27" s="344">
        <f t="shared" si="36"/>
        <v>0.2712977436133886</v>
      </c>
      <c r="BP27" s="344">
        <f t="shared" si="37"/>
        <v>0.36171813021030563</v>
      </c>
      <c r="BQ27" s="352">
        <f t="shared" si="38"/>
        <v>1347.7187531257814</v>
      </c>
      <c r="BR27" s="353">
        <f t="shared" si="39"/>
        <v>2.6075697760272831</v>
      </c>
      <c r="BS27" s="352">
        <f t="shared" si="144"/>
        <v>1477.2336932778246</v>
      </c>
      <c r="BT27" s="354"/>
      <c r="BU27" s="348">
        <f t="shared" si="40"/>
        <v>0.80913017981740065</v>
      </c>
      <c r="BV27" s="348">
        <f t="shared" si="41"/>
        <v>9.4727280067826731E-3</v>
      </c>
      <c r="BW27" s="348">
        <f t="shared" si="42"/>
        <v>0.27791923461445983</v>
      </c>
      <c r="BX27" s="348">
        <f t="shared" si="43"/>
        <v>0.12257794940291093</v>
      </c>
      <c r="BY27" s="348">
        <f t="shared" si="44"/>
        <v>0</v>
      </c>
      <c r="BZ27" s="348">
        <f t="shared" si="45"/>
        <v>0.36932308259914681</v>
      </c>
      <c r="CA27" s="348">
        <f t="shared" si="46"/>
        <v>0.19151039988955873</v>
      </c>
      <c r="CB27" s="348">
        <f t="shared" si="47"/>
        <v>5.7034006807607035E-2</v>
      </c>
      <c r="CC27" s="348">
        <f t="shared" si="48"/>
        <v>1.1526607766591335E-3</v>
      </c>
      <c r="CD27" s="348">
        <f t="shared" si="49"/>
        <v>0</v>
      </c>
      <c r="CE27" s="348">
        <f t="shared" si="50"/>
        <v>0</v>
      </c>
      <c r="CF27" s="348">
        <f t="shared" si="318"/>
        <v>1.8381202419145255</v>
      </c>
      <c r="CG27" s="348">
        <f t="shared" si="319"/>
        <v>0.44019436888124214</v>
      </c>
      <c r="CH27" s="348">
        <f t="shared" si="320"/>
        <v>5.1534865841617586E-3</v>
      </c>
      <c r="CI27" s="348">
        <f t="shared" si="321"/>
        <v>0.15119752684132803</v>
      </c>
      <c r="CJ27" s="348">
        <f t="shared" si="322"/>
        <v>6.6686578281319492E-2</v>
      </c>
      <c r="CK27" s="348">
        <f t="shared" si="323"/>
        <v>0</v>
      </c>
      <c r="CL27" s="348">
        <f t="shared" si="324"/>
        <v>0.20092433246612423</v>
      </c>
      <c r="CM27" s="348">
        <f t="shared" si="325"/>
        <v>0.1041881785111554</v>
      </c>
      <c r="CN27" s="348">
        <f t="shared" si="326"/>
        <v>3.1028441723813614E-2</v>
      </c>
      <c r="CO27" s="348">
        <f t="shared" si="327"/>
        <v>6.270867108555205E-4</v>
      </c>
      <c r="CP27" s="348">
        <f t="shared" si="328"/>
        <v>0</v>
      </c>
      <c r="CQ27" s="348">
        <f t="shared" si="329"/>
        <v>0</v>
      </c>
      <c r="CR27" s="348"/>
      <c r="CS27" s="348">
        <f t="shared" ca="1" si="55"/>
        <v>0.6848392685272906</v>
      </c>
      <c r="CT27" s="348">
        <f t="shared" ca="1" si="56"/>
        <v>0.1159052837901981</v>
      </c>
      <c r="CU27" s="348">
        <f t="shared" ca="1" si="57"/>
        <v>1.2537732532643835</v>
      </c>
      <c r="CV27" s="348">
        <f t="shared" ca="1" si="58"/>
        <v>2.054517805581872</v>
      </c>
      <c r="CW27" s="348">
        <f t="shared" ca="1" si="59"/>
        <v>0.33333333333333331</v>
      </c>
      <c r="CX27" s="348">
        <f t="shared" ca="1" si="60"/>
        <v>5.6414835381468929E-2</v>
      </c>
      <c r="CY27" s="348">
        <f t="shared" ca="1" si="61"/>
        <v>0.61025183128519789</v>
      </c>
      <c r="CZ27" s="348">
        <f t="shared" si="62"/>
        <v>0.37179908925859911</v>
      </c>
      <c r="DA27" s="348">
        <f t="shared" si="63"/>
        <v>0.44019436888124214</v>
      </c>
      <c r="DB27" s="348">
        <f t="shared" si="64"/>
        <v>-0.6099184040837351</v>
      </c>
      <c r="DC27" s="348"/>
      <c r="DD27" s="348">
        <f t="shared" ca="1" si="330"/>
        <v>1433.4409895088597</v>
      </c>
      <c r="DE27" s="348">
        <f t="shared" ca="1" si="331"/>
        <v>14438.595155783514</v>
      </c>
      <c r="DF27" s="348">
        <f t="shared" si="67"/>
        <v>8.4604895048337276</v>
      </c>
      <c r="DG27" s="348">
        <f t="shared" si="332"/>
        <v>1607.8154572747076</v>
      </c>
      <c r="DH27" s="348">
        <f t="shared" si="333"/>
        <v>1334.6654572747075</v>
      </c>
      <c r="DI27" s="348">
        <f t="shared" si="145"/>
        <v>13602.905801982104</v>
      </c>
      <c r="DJ27" s="348">
        <f t="shared" si="70"/>
        <v>8.4604895048337276</v>
      </c>
      <c r="DK27" s="348">
        <f t="shared" si="334"/>
        <v>1607.8154572747076</v>
      </c>
      <c r="DL27" s="348">
        <f t="shared" ca="1" si="72"/>
        <v>1.6906731297436646</v>
      </c>
      <c r="DM27" s="348">
        <f t="shared" si="73"/>
        <v>-0.6099184040837351</v>
      </c>
      <c r="DN27" s="348">
        <f t="shared" si="74"/>
        <v>0.37179908925859911</v>
      </c>
      <c r="DO27" s="348">
        <f t="shared" si="75"/>
        <v>0.44019436888124214</v>
      </c>
      <c r="DP27" s="348">
        <f t="shared" si="76"/>
        <v>3.0072832468935364</v>
      </c>
      <c r="DQ27" s="348">
        <f t="shared" ca="1" si="77"/>
        <v>14438.699728032288</v>
      </c>
      <c r="DR27" s="348">
        <f t="shared" si="335"/>
        <v>8.4602662776615922</v>
      </c>
      <c r="DS27" s="348">
        <f t="shared" ca="1" si="336"/>
        <v>1433.4983789234975</v>
      </c>
      <c r="DT27" s="348">
        <f t="shared" si="337"/>
        <v>1334.724856837232</v>
      </c>
      <c r="DU27" s="348">
        <f t="shared" ca="1" si="338"/>
        <v>1420.3044545801154</v>
      </c>
      <c r="DV27" s="355">
        <f t="shared" ca="1" si="82"/>
        <v>3.0372221412659721</v>
      </c>
      <c r="DW27" s="348">
        <f t="shared" ca="1" si="83"/>
        <v>3.1757595783560419</v>
      </c>
      <c r="DX27" s="348">
        <f t="shared" ca="1" si="339"/>
        <v>4523.1391827175785</v>
      </c>
      <c r="DY27" s="348">
        <f t="shared" ca="1" si="340"/>
        <v>1424.2700277264121</v>
      </c>
      <c r="DZ27" s="348">
        <f t="shared" ca="1" si="85"/>
        <v>4.5777736596741576</v>
      </c>
      <c r="EA27" s="348"/>
      <c r="EB27" s="348">
        <f t="shared" si="86"/>
        <v>0.80913017981740065</v>
      </c>
      <c r="EC27" s="348">
        <f t="shared" si="87"/>
        <v>9.4727280067826731E-3</v>
      </c>
      <c r="ED27" s="348">
        <f t="shared" si="88"/>
        <v>0.13895961730722992</v>
      </c>
      <c r="EE27" s="348">
        <f t="shared" si="89"/>
        <v>0.12257794940291093</v>
      </c>
      <c r="EF27" s="348">
        <f t="shared" si="90"/>
        <v>0</v>
      </c>
      <c r="EG27" s="348">
        <f t="shared" si="91"/>
        <v>0.36932308259914681</v>
      </c>
      <c r="EH27" s="348">
        <f t="shared" si="92"/>
        <v>0.19151039988955873</v>
      </c>
      <c r="EI27" s="348">
        <f t="shared" si="93"/>
        <v>2.8517003403803518E-2</v>
      </c>
      <c r="EJ27" s="348">
        <f t="shared" si="94"/>
        <v>5.7633038832956675E-4</v>
      </c>
      <c r="EK27" s="348">
        <f t="shared" si="95"/>
        <v>0</v>
      </c>
      <c r="EL27" s="348">
        <f t="shared" si="96"/>
        <v>0</v>
      </c>
      <c r="EM27" s="348">
        <f t="shared" si="341"/>
        <v>1.6700672908151628</v>
      </c>
      <c r="EN27" s="348">
        <f t="shared" si="342"/>
        <v>0.4844895677361975</v>
      </c>
      <c r="EO27" s="348">
        <f t="shared" si="343"/>
        <v>5.6720636700566826E-3</v>
      </c>
      <c r="EP27" s="348">
        <f t="shared" si="344"/>
        <v>8.3205998986665669E-2</v>
      </c>
      <c r="EQ27" s="348">
        <f t="shared" si="345"/>
        <v>7.3397012250374899E-2</v>
      </c>
      <c r="ER27" s="348">
        <f t="shared" si="346"/>
        <v>0</v>
      </c>
      <c r="ES27" s="348">
        <f t="shared" si="347"/>
        <v>0.22114263576701723</v>
      </c>
      <c r="ET27" s="348">
        <f t="shared" si="348"/>
        <v>0.11467226556846231</v>
      </c>
      <c r="EU27" s="348">
        <f t="shared" si="349"/>
        <v>1.7075361909449957E-2</v>
      </c>
      <c r="EV27" s="348">
        <f t="shared" si="350"/>
        <v>3.4509411177573499E-4</v>
      </c>
      <c r="EW27" s="348">
        <f t="shared" si="351"/>
        <v>0</v>
      </c>
      <c r="EX27" s="348">
        <f t="shared" si="352"/>
        <v>0</v>
      </c>
      <c r="EY27" s="348">
        <f t="shared" si="353"/>
        <v>0.99999999999999989</v>
      </c>
      <c r="EZ27" s="348">
        <f t="shared" si="100"/>
        <v>0.15119752684132803</v>
      </c>
      <c r="FA27" s="348">
        <f t="shared" si="101"/>
        <v>0.59654538230673193</v>
      </c>
      <c r="FB27" s="348">
        <f t="shared" si="102"/>
        <v>1.5051188546687335</v>
      </c>
      <c r="FC27" s="348">
        <f t="shared" si="354"/>
        <v>0.62405618011053932</v>
      </c>
      <c r="FD27" s="348">
        <f t="shared" si="355"/>
        <v>1.0461168565205017</v>
      </c>
      <c r="FE27" s="348">
        <f t="shared" ca="1" si="105"/>
        <v>0.11725300711798337</v>
      </c>
      <c r="FF27" s="348">
        <f t="shared" ca="1" si="356"/>
        <v>6.9712259807483959E-3</v>
      </c>
      <c r="FG27" s="348">
        <f t="shared" ca="1" si="357"/>
        <v>5.9454560288878106E-2</v>
      </c>
      <c r="FH27" s="348">
        <f t="shared" ca="1" si="358"/>
        <v>0.2688516399502261</v>
      </c>
      <c r="FI27" s="348">
        <f t="shared" ca="1" si="147"/>
        <v>9.2445171795156419E-2</v>
      </c>
      <c r="FJ27" s="348">
        <f t="shared" ca="1" si="359"/>
        <v>0.34385199142646583</v>
      </c>
      <c r="FK27" s="348">
        <f t="shared" ca="1" si="360"/>
        <v>9.2445171795156433E-2</v>
      </c>
      <c r="FL27" s="348">
        <f t="shared" ca="1" si="109"/>
        <v>9.2445171795156378E-2</v>
      </c>
      <c r="FM27" s="348"/>
      <c r="FN27" s="348"/>
      <c r="FO27" s="348"/>
      <c r="FP27" s="348">
        <f t="shared" ca="1" si="361"/>
        <v>1.8307554938555932</v>
      </c>
      <c r="FQ27" s="348">
        <f t="shared" ca="1" si="362"/>
        <v>0.16924450614440678</v>
      </c>
      <c r="FR27" s="348">
        <f t="shared" si="151"/>
        <v>0.33333333333333331</v>
      </c>
      <c r="FS27" s="348">
        <f t="shared" ca="1" si="363"/>
        <v>5.6414835381468929E-2</v>
      </c>
      <c r="FT27" s="348">
        <f t="shared" ca="1" si="364"/>
        <v>0.61025183128519778</v>
      </c>
      <c r="FU27" s="348">
        <f t="shared" si="365"/>
        <v>20.026666666666664</v>
      </c>
      <c r="FV27" s="348">
        <f t="shared" ca="1" si="366"/>
        <v>4.0534059221585421</v>
      </c>
      <c r="FW27" s="348">
        <f t="shared" ca="1" si="367"/>
        <v>24.593148800793468</v>
      </c>
      <c r="FX27" s="348">
        <f t="shared" ca="1" si="368"/>
        <v>48.673221389618675</v>
      </c>
      <c r="FY27" s="348">
        <f t="shared" ca="1" si="369"/>
        <v>41.14514325311962</v>
      </c>
      <c r="FZ27" s="348">
        <f t="shared" ca="1" si="370"/>
        <v>8.3277946403257328</v>
      </c>
      <c r="GA27" s="348">
        <f t="shared" ca="1" si="371"/>
        <v>50.527062106554652</v>
      </c>
      <c r="GB27" s="348">
        <f t="shared" ca="1" si="372"/>
        <v>91.537774692779649</v>
      </c>
      <c r="GC27" s="348">
        <f t="shared" ca="1" si="119"/>
        <v>1690673129.7436645</v>
      </c>
      <c r="GD27" s="345">
        <f t="shared" si="152"/>
        <v>38</v>
      </c>
      <c r="GE27" s="351">
        <f t="shared" ca="1" si="153"/>
        <v>1330.6560175232464</v>
      </c>
      <c r="GF27" s="351">
        <f t="shared" ca="1" si="120"/>
        <v>1330.1013097190564</v>
      </c>
      <c r="GG27" s="351">
        <f t="shared" ca="1" si="121"/>
        <v>1750.1704577341957</v>
      </c>
      <c r="GH27" s="345">
        <f t="shared" ca="1" si="122"/>
        <v>0.24181077878497814</v>
      </c>
      <c r="GI27" s="345">
        <f t="shared" ca="1" si="123"/>
        <v>1.6844167148174132</v>
      </c>
      <c r="GJ27" s="345">
        <f t="shared" ca="1" si="124"/>
        <v>-2.5069349697866241</v>
      </c>
      <c r="GK27" s="345">
        <f t="shared" ca="1" si="125"/>
        <v>1.8298275818394667</v>
      </c>
      <c r="GL27" s="345">
        <f t="shared" ca="1" si="154"/>
        <v>-0.24181077878497814</v>
      </c>
      <c r="GM27" s="351">
        <f t="shared" ca="1" si="155"/>
        <v>0.45667963376572768</v>
      </c>
      <c r="GN27" s="351">
        <f t="shared" ca="1" si="156"/>
        <v>9.5243409176067217E-2</v>
      </c>
      <c r="GO27" s="351">
        <f t="shared" ca="1" si="157"/>
        <v>-0.21019434182383334</v>
      </c>
      <c r="GP27" s="351">
        <f t="shared" ca="1" si="158"/>
        <v>-6.6074744195814772E-2</v>
      </c>
      <c r="GQ27" s="351">
        <f t="shared" ca="1" si="159"/>
        <v>0.30684434087939649</v>
      </c>
      <c r="GR27" s="351">
        <f t="shared" ca="1" si="160"/>
        <v>0.20855628789639916</v>
      </c>
      <c r="GS27" s="351">
        <f t="shared" ca="1" si="161"/>
        <v>-4.8876188451951352E-2</v>
      </c>
      <c r="GT27" s="351">
        <f t="shared" ca="1" si="162"/>
        <v>9.4951580095635555E-4</v>
      </c>
      <c r="GU27" s="351">
        <f t="shared" ca="1" si="163"/>
        <v>0.20725590608947733</v>
      </c>
      <c r="GV27" s="351">
        <f t="shared" ca="1" si="164"/>
        <v>-0.47423523332823175</v>
      </c>
      <c r="GW27" s="351">
        <f t="shared" ca="1" si="165"/>
        <v>0.18970030652697328</v>
      </c>
      <c r="GY27" s="356">
        <f t="shared" si="166"/>
        <v>0.132542387603485</v>
      </c>
      <c r="GZ27" s="345">
        <f t="shared" si="167"/>
        <v>8.8878062656722351E-2</v>
      </c>
      <c r="HA27" s="345">
        <f t="shared" si="168"/>
        <v>7.238226015312528E-2</v>
      </c>
      <c r="HB27" s="345">
        <f t="shared" si="169"/>
        <v>0.29380271041333261</v>
      </c>
      <c r="HC27" s="345">
        <f t="shared" si="170"/>
        <v>0.4511271778841639</v>
      </c>
      <c r="HD27" s="345">
        <f t="shared" si="171"/>
        <v>0.30250933536891261</v>
      </c>
      <c r="HE27" s="345">
        <f t="shared" si="172"/>
        <v>0.24636348674692352</v>
      </c>
      <c r="HF27" s="345">
        <f t="shared" si="127"/>
        <v>-1.2732613895453975</v>
      </c>
      <c r="HG27" s="345">
        <f t="shared" si="128"/>
        <v>-1.2759421897460657</v>
      </c>
      <c r="HH27" s="345">
        <f t="shared" si="173"/>
        <v>-1.2746017896457316</v>
      </c>
      <c r="HI27" s="345">
        <f t="shared" si="129"/>
        <v>2.6848258456837915</v>
      </c>
      <c r="HJ27" s="345">
        <f t="shared" si="130"/>
        <v>0.15099300014445263</v>
      </c>
      <c r="HK27" s="345">
        <f t="shared" si="131"/>
        <v>0.33293850892802906</v>
      </c>
      <c r="HL27" s="345">
        <f t="shared" si="132"/>
        <v>0.91061593121618056</v>
      </c>
    </row>
    <row r="28" spans="1:220" ht="20.25">
      <c r="A28" s="88" t="s">
        <v>150</v>
      </c>
      <c r="B28" s="77">
        <v>3500</v>
      </c>
      <c r="C28" s="95">
        <f t="shared" ref="C28:C34" ca="1" si="373">E28</f>
        <v>-2.0590937760766561</v>
      </c>
      <c r="D28" s="70">
        <f t="shared" ca="1" si="0"/>
        <v>-1.6493572939169074</v>
      </c>
      <c r="E28" s="71">
        <f t="shared" ca="1" si="1"/>
        <v>-2.0590937760766561</v>
      </c>
      <c r="F28" s="84">
        <v>46.2</v>
      </c>
      <c r="G28" s="84">
        <v>0.42399999999999999</v>
      </c>
      <c r="H28" s="84">
        <v>4.07</v>
      </c>
      <c r="I28" s="84">
        <v>11.97</v>
      </c>
      <c r="J28" s="84">
        <v>0.21</v>
      </c>
      <c r="K28" s="84">
        <v>27.2</v>
      </c>
      <c r="L28" s="84">
        <v>7.51</v>
      </c>
      <c r="M28" s="84">
        <v>0.51</v>
      </c>
      <c r="N28" s="84">
        <v>0.02</v>
      </c>
      <c r="O28" s="84"/>
      <c r="P28" s="84"/>
      <c r="Q28" s="84"/>
      <c r="R28" s="72">
        <f t="shared" ref="R28:R34" si="374">SUM(F28:P28)</f>
        <v>98.114000000000004</v>
      </c>
      <c r="S28" s="106">
        <f t="shared" ca="1" si="2"/>
        <v>4.118486901727243</v>
      </c>
      <c r="T28" s="104">
        <f t="shared" ca="1" si="135"/>
        <v>0.35834592851381791</v>
      </c>
      <c r="U28" s="107">
        <f t="shared" ref="U28:V34" ca="1" si="375">AY28</f>
        <v>1805.1794869337209</v>
      </c>
      <c r="V28" s="107">
        <f t="shared" ca="1" si="375"/>
        <v>1736.2871280247391</v>
      </c>
      <c r="W28" s="105">
        <f t="shared" ca="1" si="4"/>
        <v>1737.4054668997496</v>
      </c>
      <c r="X28" s="102">
        <f t="shared" ca="1" si="5"/>
        <v>2047.549292403075</v>
      </c>
      <c r="Y28" s="102">
        <f t="shared" ca="1" si="6"/>
        <v>1900.119309185674</v>
      </c>
      <c r="Z28" s="103">
        <f t="shared" ca="1" si="7"/>
        <v>1970.5398203887378</v>
      </c>
      <c r="AA28" s="103">
        <f t="shared" ca="1" si="8"/>
        <v>1931.1213336519686</v>
      </c>
      <c r="AB28" s="103">
        <f t="shared" ca="1" si="136"/>
        <v>83.614203049095352</v>
      </c>
      <c r="AC28" s="4">
        <v>13.3</v>
      </c>
      <c r="AD28" s="273">
        <f t="shared" ca="1" si="9"/>
        <v>13.482489346619875</v>
      </c>
      <c r="AE28" s="3">
        <f t="shared" ca="1" si="10"/>
        <v>125.60187703335147</v>
      </c>
      <c r="AF28" s="3">
        <f t="shared" ca="1" si="11"/>
        <v>215.03834876773448</v>
      </c>
      <c r="AG28" s="2">
        <f t="shared" ca="1" si="12"/>
        <v>584.09059478509846</v>
      </c>
      <c r="AH28" s="2">
        <f t="shared" ca="1" si="13"/>
        <v>250.36166140396057</v>
      </c>
      <c r="AI28" s="87">
        <f t="shared" si="14"/>
        <v>0.53974524075666908</v>
      </c>
      <c r="AJ28" s="87">
        <f t="shared" ca="1" si="15"/>
        <v>4.118486901727243</v>
      </c>
      <c r="AK28" s="87">
        <f t="shared" ca="1" si="16"/>
        <v>0.30729198191285279</v>
      </c>
      <c r="AL28" s="86">
        <f t="shared" ca="1" si="17"/>
        <v>0.27277240912657769</v>
      </c>
      <c r="AM28" s="87">
        <f t="shared" ca="1" si="18"/>
        <v>0.35834592851381791</v>
      </c>
      <c r="AN28" s="87">
        <f t="shared" ca="1" si="19"/>
        <v>0.35834592851381786</v>
      </c>
      <c r="AO28" s="96">
        <f t="shared" ref="AO28:AO34" ca="1" si="376">FY28</f>
        <v>41.531731468657284</v>
      </c>
      <c r="AP28" s="96">
        <f t="shared" ref="AP28:AP34" ca="1" si="377">FZ28</f>
        <v>6.2663178206557895</v>
      </c>
      <c r="AQ28" s="96">
        <f t="shared" ref="AQ28:AQ34" ca="1" si="378">GA28</f>
        <v>52.201950710686937</v>
      </c>
      <c r="AR28" s="73"/>
      <c r="AS28" s="53">
        <f t="shared" ca="1" si="138"/>
        <v>84.182945766845592</v>
      </c>
      <c r="AT28" s="68">
        <f t="shared" ca="1" si="139"/>
        <v>93.691798801940436</v>
      </c>
      <c r="AU28" s="74">
        <f t="shared" ca="1" si="23"/>
        <v>0.35834592851381786</v>
      </c>
      <c r="AV28" s="68">
        <f t="shared" ref="AV28:AV34" si="379">(0.666-(-0.049*CK28+0.027*CJ28))/(1*CL28+0.259*CK28+0.299*CJ28)</f>
        <v>1.6916945473319058</v>
      </c>
      <c r="AW28" s="68">
        <f t="shared" ca="1" si="25"/>
        <v>1.7115101651894489</v>
      </c>
      <c r="AX28" s="69">
        <f t="shared" ref="AX28:AX34" ca="1" si="380">(DE28/DF28)-273.15</f>
        <v>1821.5393311671919</v>
      </c>
      <c r="AY28" s="69">
        <f t="shared" ref="AY28:AY34" ca="1" si="381">(DK28-273.15)+54*DL28+2*DL28^2</f>
        <v>1805.1794869337209</v>
      </c>
      <c r="AZ28" s="69">
        <f t="shared" ca="1" si="28"/>
        <v>1736.2871280247391</v>
      </c>
      <c r="BA28" s="75"/>
      <c r="BB28" s="74">
        <f t="shared" ref="BB28:BB34" ca="1" si="382">AVERAGE(BD28:BF28,BI28)</f>
        <v>0.42863498169504832</v>
      </c>
      <c r="BC28" s="74">
        <f t="shared" ref="BC28:BC34" ca="1" si="383">STDEV(BE28,BI28)</f>
        <v>6.3454431979749482E-2</v>
      </c>
      <c r="BD28" s="68">
        <f t="shared" si="29"/>
        <v>0.39439500000000005</v>
      </c>
      <c r="BE28" s="68">
        <f t="shared" ca="1" si="30"/>
        <v>0.54284152479802539</v>
      </c>
      <c r="BF28" s="68">
        <f t="shared" ca="1" si="31"/>
        <v>0.3241999954825851</v>
      </c>
      <c r="BH28" s="68">
        <f t="shared" ca="1" si="32"/>
        <v>0.41269951219201872</v>
      </c>
      <c r="BI28" s="68">
        <f t="shared" ca="1" si="33"/>
        <v>0.45310340649958264</v>
      </c>
      <c r="BK28" s="53">
        <f t="shared" ca="1" si="142"/>
        <v>0.86868803982784715</v>
      </c>
      <c r="BL28" s="53">
        <f t="shared" si="34"/>
        <v>0.55113822968099013</v>
      </c>
      <c r="BM28" s="53">
        <f t="shared" si="143"/>
        <v>0.6814264348894461</v>
      </c>
      <c r="BN28" s="53">
        <f t="shared" si="35"/>
        <v>1.1537697265597051</v>
      </c>
      <c r="BO28" s="53">
        <f t="shared" si="36"/>
        <v>0.5981422476700422</v>
      </c>
      <c r="BP28" s="53">
        <f t="shared" si="37"/>
        <v>0.50806614319367538</v>
      </c>
      <c r="BQ28" s="54">
        <f t="shared" si="38"/>
        <v>1565.3055999999999</v>
      </c>
      <c r="BR28" s="262">
        <f t="shared" si="39"/>
        <v>12.089377492935283</v>
      </c>
      <c r="BS28" s="54">
        <f t="shared" si="144"/>
        <v>1970.5389689659748</v>
      </c>
      <c r="BT28" s="67"/>
      <c r="BU28" s="73">
        <f t="shared" si="40"/>
        <v>0.76897470039946747</v>
      </c>
      <c r="BV28" s="73">
        <f t="shared" si="41"/>
        <v>5.306633291614518E-3</v>
      </c>
      <c r="BW28" s="73">
        <f t="shared" si="42"/>
        <v>7.9835229501765415E-2</v>
      </c>
      <c r="BX28" s="73">
        <f t="shared" si="43"/>
        <v>0.1665970772442589</v>
      </c>
      <c r="BY28" s="73">
        <f t="shared" si="44"/>
        <v>2.9602480969833662E-3</v>
      </c>
      <c r="BZ28" s="73">
        <f t="shared" si="45"/>
        <v>0.67493796526054595</v>
      </c>
      <c r="CA28" s="73">
        <f t="shared" si="46"/>
        <v>0.13391583452211128</v>
      </c>
      <c r="CB28" s="73">
        <f t="shared" si="47"/>
        <v>1.6456921587608909E-2</v>
      </c>
      <c r="CC28" s="73">
        <f t="shared" si="48"/>
        <v>4.2462845010615713E-4</v>
      </c>
      <c r="CD28" s="73">
        <f t="shared" si="49"/>
        <v>0</v>
      </c>
      <c r="CE28" s="73">
        <f t="shared" si="50"/>
        <v>0</v>
      </c>
      <c r="CF28" s="73">
        <f t="shared" ref="CF28:CF34" si="384">SUM(BU28:CE28)</f>
        <v>1.8494092383544618</v>
      </c>
      <c r="CG28" s="73">
        <f t="shared" ref="CG28:CO34" si="385">BU28/$CF28</f>
        <v>0.41579477621928268</v>
      </c>
      <c r="CH28" s="73">
        <f t="shared" si="385"/>
        <v>2.8693667045462425E-3</v>
      </c>
      <c r="CI28" s="73">
        <f t="shared" si="385"/>
        <v>4.3167962961404877E-2</v>
      </c>
      <c r="CJ28" s="73">
        <f t="shared" si="385"/>
        <v>9.0081239884197306E-2</v>
      </c>
      <c r="CK28" s="73">
        <f t="shared" si="385"/>
        <v>1.6006452415136031E-3</v>
      </c>
      <c r="CL28" s="73">
        <f t="shared" si="385"/>
        <v>0.36494787160308639</v>
      </c>
      <c r="CM28" s="73">
        <f t="shared" si="385"/>
        <v>7.2410060328921472E-2</v>
      </c>
      <c r="CN28" s="73">
        <f t="shared" si="385"/>
        <v>8.8984748460820325E-3</v>
      </c>
      <c r="CO28" s="73">
        <f t="shared" si="385"/>
        <v>2.2960221096547366E-4</v>
      </c>
      <c r="CP28" s="73">
        <f t="shared" ref="CP28:CP34" si="386">CD28/CF28</f>
        <v>0</v>
      </c>
      <c r="CQ28" s="73">
        <f t="shared" ref="CQ28:CQ34" si="387">CE28/CF28</f>
        <v>0</v>
      </c>
      <c r="CR28" s="73"/>
      <c r="CS28" s="73">
        <f t="shared" ca="1" si="55"/>
        <v>0.69127382604289755</v>
      </c>
      <c r="CT28" s="73">
        <f t="shared" ca="1" si="56"/>
        <v>8.7213887552620592E-2</v>
      </c>
      <c r="CU28" s="73">
        <f t="shared" ca="1" si="57"/>
        <v>1.2953337645331746</v>
      </c>
      <c r="CV28" s="73">
        <f t="shared" ca="1" si="58"/>
        <v>2.0738214781286928</v>
      </c>
      <c r="CW28" s="73">
        <f t="shared" ca="1" si="59"/>
        <v>0.33333333333333331</v>
      </c>
      <c r="CX28" s="73">
        <f t="shared" ca="1" si="60"/>
        <v>4.2054674653730466E-2</v>
      </c>
      <c r="CY28" s="73">
        <f t="shared" ca="1" si="61"/>
        <v>0.62461199201293616</v>
      </c>
      <c r="CZ28" s="73">
        <f t="shared" si="62"/>
        <v>0.52903981705771874</v>
      </c>
      <c r="DA28" s="73">
        <f t="shared" si="63"/>
        <v>0.41579477621928268</v>
      </c>
      <c r="DB28" s="73">
        <f t="shared" si="64"/>
        <v>-0.17456038347028643</v>
      </c>
      <c r="DC28" s="73"/>
      <c r="DD28" s="73">
        <f t="shared" ref="DD28:DD34" ca="1" si="388">(DE28/DF28)-273.15</f>
        <v>1821.5393311671919</v>
      </c>
      <c r="DE28" s="73">
        <f t="shared" ref="DE28:DE34" ca="1" si="389">113.1*1000/8.3144+(DL28*10^9-10^5)*4.11*(10^-6)/8.3144</f>
        <v>15638.719590842271</v>
      </c>
      <c r="DF28" s="73">
        <f t="shared" si="67"/>
        <v>7.4658897422884873</v>
      </c>
      <c r="DG28" s="73">
        <f t="shared" ref="DG28:DG34" si="390">DI28/DJ28</f>
        <v>1822.0073255210521</v>
      </c>
      <c r="DH28" s="73">
        <f t="shared" ref="DH28:DH34" si="391">DG28-273.15</f>
        <v>1548.8573255210522</v>
      </c>
      <c r="DI28" s="73">
        <f t="shared" ref="DI28:DI34" si="392">113.1*1000/8.3144+(0.0001*10^9-10^5)*4.11*(10^-6)/8.3144</f>
        <v>13602.905801982104</v>
      </c>
      <c r="DJ28" s="73">
        <f t="shared" si="70"/>
        <v>7.4658897422884873</v>
      </c>
      <c r="DK28" s="73">
        <f t="shared" ref="DK28:DK34" si="393">DI28/DJ28</f>
        <v>1822.0073255210521</v>
      </c>
      <c r="DL28" s="73">
        <f t="shared" ca="1" si="72"/>
        <v>4.118486901727243</v>
      </c>
      <c r="DM28" s="73">
        <f t="shared" si="73"/>
        <v>-0.17456038347028643</v>
      </c>
      <c r="DN28" s="73">
        <f t="shared" si="74"/>
        <v>0.52903981705771874</v>
      </c>
      <c r="DO28" s="73">
        <f t="shared" si="75"/>
        <v>0.41579477621928268</v>
      </c>
      <c r="DP28" s="73">
        <f t="shared" si="76"/>
        <v>1.6916945473319058</v>
      </c>
      <c r="DQ28" s="73">
        <f t="shared" ca="1" si="77"/>
        <v>15638.768075523771</v>
      </c>
      <c r="DR28" s="73">
        <f t="shared" ref="DR28:DR34" si="394">6.26+2*LN(DP28)+2*LN(1.5*DN28)+2*LN(3*DO28)-DM28</f>
        <v>7.4656665151163519</v>
      </c>
      <c r="DS28" s="73">
        <f t="shared" ref="DS28:DS34" ca="1" si="395">(DQ28/DR28)-273.15</f>
        <v>1821.6084577825254</v>
      </c>
      <c r="DT28" s="73">
        <f t="shared" ref="DT28:DT34" si="396">(13603+4.943*10^-7*(0.0001*10^9-10^-5))/(6.26+2*LN(DP28)+2*LN(1.5*DN28)+2*LN(3*DO28)-DM28)-273.15</f>
        <v>1548.9310429258762</v>
      </c>
      <c r="DU28" s="73">
        <f t="shared" ref="DU28:DU34" ca="1" si="397">DT28+54*DL28-2*DL28^2</f>
        <v>1737.4054668997496</v>
      </c>
      <c r="DV28" s="76">
        <f t="shared" ca="1" si="82"/>
        <v>1.7115101651894489</v>
      </c>
      <c r="DW28" s="73">
        <f t="shared" ca="1" si="83"/>
        <v>2.6682666183157462</v>
      </c>
      <c r="DX28" s="73">
        <f t="shared" ref="DX28:DX34" ca="1" si="398">55.09*DL28+4430</f>
        <v>4656.8874434161535</v>
      </c>
      <c r="DY28" s="73">
        <f t="shared" ref="DY28:DY34" ca="1" si="399">DX28/DW28</f>
        <v>1745.2856515349495</v>
      </c>
      <c r="DZ28" s="73">
        <f t="shared" ca="1" si="85"/>
        <v>2.6542386473335071</v>
      </c>
      <c r="EA28" s="73"/>
      <c r="EB28" s="73">
        <f t="shared" si="86"/>
        <v>0.76897470039946747</v>
      </c>
      <c r="EC28" s="73">
        <f t="shared" si="87"/>
        <v>5.306633291614518E-3</v>
      </c>
      <c r="ED28" s="73">
        <f t="shared" si="88"/>
        <v>3.9917614750882707E-2</v>
      </c>
      <c r="EE28" s="73">
        <f t="shared" si="89"/>
        <v>0.1665970772442589</v>
      </c>
      <c r="EF28" s="73">
        <f t="shared" si="90"/>
        <v>2.9602480969833662E-3</v>
      </c>
      <c r="EG28" s="73">
        <f t="shared" si="91"/>
        <v>0.67493796526054595</v>
      </c>
      <c r="EH28" s="73">
        <f t="shared" si="92"/>
        <v>0.13391583452211128</v>
      </c>
      <c r="EI28" s="73">
        <f t="shared" si="93"/>
        <v>8.2284607938044544E-3</v>
      </c>
      <c r="EJ28" s="73">
        <f t="shared" si="94"/>
        <v>2.1231422505307856E-4</v>
      </c>
      <c r="EK28" s="73">
        <f t="shared" si="95"/>
        <v>0</v>
      </c>
      <c r="EL28" s="73">
        <f t="shared" si="96"/>
        <v>0</v>
      </c>
      <c r="EM28" s="73">
        <f t="shared" ref="EM28:EM34" si="400">SUM(EB28:EL28)</f>
        <v>1.8010508485847216</v>
      </c>
      <c r="EN28" s="73">
        <f t="shared" ref="EN28:EX34" si="401">EB28/$EM28</f>
        <v>0.42695890624283772</v>
      </c>
      <c r="EO28" s="73">
        <f t="shared" si="401"/>
        <v>2.9464094785466538E-3</v>
      </c>
      <c r="EP28" s="73">
        <f t="shared" si="401"/>
        <v>2.2163513474508643E-2</v>
      </c>
      <c r="EQ28" s="73">
        <f t="shared" si="401"/>
        <v>9.2499929902130226E-2</v>
      </c>
      <c r="ER28" s="73">
        <f t="shared" si="401"/>
        <v>1.6436227213182514E-3</v>
      </c>
      <c r="ES28" s="73">
        <f t="shared" si="401"/>
        <v>0.3747467573116644</v>
      </c>
      <c r="ET28" s="73">
        <f t="shared" si="401"/>
        <v>7.4354277463816912E-2</v>
      </c>
      <c r="EU28" s="73">
        <f t="shared" si="401"/>
        <v>4.5686998788903917E-3</v>
      </c>
      <c r="EV28" s="73">
        <f t="shared" si="401"/>
        <v>1.1788352628684335E-4</v>
      </c>
      <c r="EW28" s="73">
        <f t="shared" si="401"/>
        <v>0</v>
      </c>
      <c r="EX28" s="73">
        <f t="shared" si="401"/>
        <v>0</v>
      </c>
      <c r="EY28" s="73">
        <f t="shared" ref="EY28:EY34" si="402">SUM(EN28:EX28)</f>
        <v>1</v>
      </c>
      <c r="EZ28" s="73">
        <f t="shared" si="100"/>
        <v>4.3167962961404877E-2</v>
      </c>
      <c r="FA28" s="73">
        <f t="shared" si="101"/>
        <v>0.46183210588523382</v>
      </c>
      <c r="FB28" s="73">
        <f t="shared" si="102"/>
        <v>1.4356840858760078</v>
      </c>
      <c r="FC28" s="73">
        <f t="shared" ref="FC28:FC34" si="403">(2*FB28-4*FA28)</f>
        <v>1.0240397482110803</v>
      </c>
      <c r="FD28" s="73">
        <f t="shared" ref="FD28:FD34" si="404">FC28/FA28</f>
        <v>2.217342049548968</v>
      </c>
      <c r="FE28" s="73">
        <f t="shared" ca="1" si="105"/>
        <v>0.15685882538715734</v>
      </c>
      <c r="FF28" s="73">
        <f t="shared" ref="FF28:FF34" ca="1" si="405">EQ28*FE28/(1+2*FE28)</f>
        <v>1.1044557667540339E-2</v>
      </c>
      <c r="FG28" s="73">
        <f t="shared" ref="FG28:FG34" ca="1" si="406">EQ28-2*FF28</f>
        <v>7.0410814567049548E-2</v>
      </c>
      <c r="FH28" s="73">
        <f t="shared" ref="FH28:FH34" ca="1" si="407">FG28/ES28</f>
        <v>0.18788905625804045</v>
      </c>
      <c r="FI28" s="73">
        <f t="shared" ca="1" si="147"/>
        <v>6.7329278322372468E-2</v>
      </c>
      <c r="FJ28" s="73">
        <f t="shared" ref="FJ28:FJ34" ca="1" si="408">FI28/FH28</f>
        <v>0.35834592851381786</v>
      </c>
      <c r="FK28" s="73">
        <f t="shared" ref="FK28:FK34" ca="1" si="409">FQ28/FP28</f>
        <v>6.7329278322372468E-2</v>
      </c>
      <c r="FL28" s="73">
        <f t="shared" ca="1" si="109"/>
        <v>6.7329278322372468E-2</v>
      </c>
      <c r="FM28" s="73"/>
      <c r="FN28" s="73"/>
      <c r="FO28" s="73"/>
      <c r="FP28" s="73">
        <f t="shared" ref="FP28:FP34" ca="1" si="410">2/(1+FL28)</f>
        <v>1.8738359760388086</v>
      </c>
      <c r="FQ28" s="73">
        <f t="shared" ref="FQ28:FQ34" ca="1" si="411">2-FP28</f>
        <v>0.12616402396119142</v>
      </c>
      <c r="FR28" s="73">
        <f t="shared" ref="FR28:FR34" si="412">1/3</f>
        <v>0.33333333333333331</v>
      </c>
      <c r="FS28" s="73">
        <f t="shared" ref="FS28:FS34" ca="1" si="413">FQ28/3</f>
        <v>4.2054674653730473E-2</v>
      </c>
      <c r="FT28" s="73">
        <f t="shared" ref="FT28:FT34" ca="1" si="414">FP28/3</f>
        <v>0.62461199201293616</v>
      </c>
      <c r="FU28" s="73">
        <f t="shared" ref="FU28:FU34" si="415">60.08*FR28</f>
        <v>20.026666666666664</v>
      </c>
      <c r="FV28" s="73">
        <f t="shared" ref="FV28:FV34" ca="1" si="416">71.85*FS28</f>
        <v>3.0216283738705343</v>
      </c>
      <c r="FW28" s="73">
        <f t="shared" ref="FW28:FW34" ca="1" si="417">40.3*FT28</f>
        <v>25.171863278121325</v>
      </c>
      <c r="FX28" s="73">
        <f t="shared" ref="FX28:FX34" ca="1" si="418">SUM(FU28:FW28)</f>
        <v>48.22015831865852</v>
      </c>
      <c r="FY28" s="73">
        <f t="shared" ref="FY28:GA34" ca="1" si="419">100*FU28/$FX28</f>
        <v>41.531731468657284</v>
      </c>
      <c r="FZ28" s="73">
        <f t="shared" ca="1" si="419"/>
        <v>6.2663178206557895</v>
      </c>
      <c r="GA28" s="73">
        <f t="shared" ca="1" si="419"/>
        <v>52.201950710686937</v>
      </c>
      <c r="GB28" s="73">
        <f t="shared" ref="GB28:GB34" ca="1" si="420">100*GA28/40.3/(GA28/40.3+FZ28/71.85)</f>
        <v>93.691798801940436</v>
      </c>
      <c r="GC28" s="73">
        <f t="shared" ca="1" si="119"/>
        <v>4118486901.7272429</v>
      </c>
      <c r="GD28" s="2">
        <f t="shared" si="152"/>
        <v>38</v>
      </c>
      <c r="GE28">
        <f t="shared" ca="1" si="153"/>
        <v>1580.8112134813884</v>
      </c>
      <c r="GF28">
        <f t="shared" ca="1" si="120"/>
        <v>1580.7731962676478</v>
      </c>
      <c r="GG28">
        <f t="shared" ca="1" si="121"/>
        <v>1879.7089841770974</v>
      </c>
      <c r="GH28" s="2">
        <f t="shared" ca="1" si="122"/>
        <v>0.7506839252516927</v>
      </c>
      <c r="GI28" s="2">
        <f t="shared" ca="1" si="123"/>
        <v>0.9512169556783725</v>
      </c>
      <c r="GJ28" s="2">
        <f t="shared" ca="1" si="124"/>
        <v>-1.1182254922120176</v>
      </c>
      <c r="GK28" s="2">
        <f t="shared" ca="1" si="125"/>
        <v>1.1718900496319169</v>
      </c>
      <c r="GL28" s="2">
        <f t="shared" ca="1" si="154"/>
        <v>-0.7506839252516927</v>
      </c>
      <c r="GM28">
        <f t="shared" ca="1" si="155"/>
        <v>0.31806894414234083</v>
      </c>
      <c r="GN28">
        <f t="shared" ca="1" si="156"/>
        <v>3.2178352257321137E-2</v>
      </c>
      <c r="GO28">
        <f t="shared" ca="1" si="157"/>
        <v>-0.12908743991722671</v>
      </c>
      <c r="GP28">
        <f t="shared" ca="1" si="158"/>
        <v>-0.32028769485988795</v>
      </c>
      <c r="GQ28">
        <f t="shared" ca="1" si="159"/>
        <v>0.2705649038141828</v>
      </c>
      <c r="GR28">
        <f t="shared" ca="1" si="160"/>
        <v>0.10116785322782354</v>
      </c>
      <c r="GS28">
        <f t="shared" ca="1" si="161"/>
        <v>0.22337860719998237</v>
      </c>
      <c r="GT28">
        <f t="shared" ca="1" si="162"/>
        <v>4.8609094761139556E-3</v>
      </c>
      <c r="GU28">
        <f t="shared" ca="1" si="163"/>
        <v>0.77047860757865838</v>
      </c>
      <c r="GV28">
        <f t="shared" ca="1" si="164"/>
        <v>-0.21985951189315195</v>
      </c>
      <c r="GW28">
        <f t="shared" ca="1" si="165"/>
        <v>0.86868803982784715</v>
      </c>
      <c r="GY28" s="15">
        <f t="shared" si="166"/>
        <v>0.21083868783013759</v>
      </c>
      <c r="GZ28" s="2">
        <f t="shared" si="167"/>
        <v>2.5109922953055298E-2</v>
      </c>
      <c r="HA28" s="2">
        <f t="shared" si="168"/>
        <v>5.6194478705630421E-2</v>
      </c>
      <c r="HB28" s="2">
        <f t="shared" si="169"/>
        <v>0.29214308948882334</v>
      </c>
      <c r="HC28" s="2">
        <f t="shared" si="170"/>
        <v>0.72169664597937977</v>
      </c>
      <c r="HD28" s="2">
        <f t="shared" si="171"/>
        <v>8.5950768156081755E-2</v>
      </c>
      <c r="HE28" s="2">
        <f t="shared" si="172"/>
        <v>0.19235258586453841</v>
      </c>
      <c r="HF28" s="2">
        <f t="shared" si="127"/>
        <v>-1.348056440981545</v>
      </c>
      <c r="HG28" s="2">
        <f t="shared" si="128"/>
        <v>-1.3411685292903173</v>
      </c>
      <c r="HH28" s="2">
        <f t="shared" si="173"/>
        <v>-1.3446124851359311</v>
      </c>
      <c r="HI28" s="2">
        <f t="shared" si="129"/>
        <v>2.3148018069063552</v>
      </c>
      <c r="HJ28" s="2">
        <f t="shared" si="130"/>
        <v>0.19642419970295844</v>
      </c>
      <c r="HK28" s="2">
        <f t="shared" si="131"/>
        <v>0.35367481076989621</v>
      </c>
      <c r="HL28" s="2">
        <f t="shared" si="132"/>
        <v>0.6700083542188805</v>
      </c>
    </row>
    <row r="29" spans="1:220" ht="20.25">
      <c r="A29" s="88" t="s">
        <v>150</v>
      </c>
      <c r="B29" s="77">
        <v>3500</v>
      </c>
      <c r="C29" s="95">
        <f t="shared" ca="1" si="373"/>
        <v>-2.0614257813820034</v>
      </c>
      <c r="D29" s="70">
        <f t="shared" ca="1" si="0"/>
        <v>-1.6522513163138619</v>
      </c>
      <c r="E29" s="71">
        <f t="shared" ca="1" si="1"/>
        <v>-2.0614257813820034</v>
      </c>
      <c r="F29" s="84">
        <v>46.1</v>
      </c>
      <c r="G29" s="84">
        <v>0.439</v>
      </c>
      <c r="H29" s="84">
        <v>4.1399999999999997</v>
      </c>
      <c r="I29" s="84">
        <v>12.15</v>
      </c>
      <c r="J29" s="84">
        <v>0.21</v>
      </c>
      <c r="K29" s="84">
        <v>27.2</v>
      </c>
      <c r="L29" s="84">
        <v>7.38</v>
      </c>
      <c r="M29" s="84">
        <v>0.42</v>
      </c>
      <c r="N29" s="84">
        <v>0.02</v>
      </c>
      <c r="O29" s="84"/>
      <c r="P29" s="84"/>
      <c r="Q29" s="84"/>
      <c r="R29" s="72">
        <f t="shared" si="374"/>
        <v>98.058999999999997</v>
      </c>
      <c r="S29" s="106">
        <f t="shared" ca="1" si="2"/>
        <v>4.1158094950689392</v>
      </c>
      <c r="T29" s="104">
        <f t="shared" ca="1" si="135"/>
        <v>0.35810619916055153</v>
      </c>
      <c r="U29" s="107">
        <f t="shared" ca="1" si="375"/>
        <v>1804.8387203820366</v>
      </c>
      <c r="V29" s="107">
        <f t="shared" ca="1" si="375"/>
        <v>1736.2591661414494</v>
      </c>
      <c r="W29" s="105">
        <f t="shared" ca="1" si="4"/>
        <v>1737.1528758869695</v>
      </c>
      <c r="X29" s="102">
        <f t="shared" ca="1" si="5"/>
        <v>2041.0179410258706</v>
      </c>
      <c r="Y29" s="102">
        <f t="shared" ca="1" si="6"/>
        <v>1900.3883981333734</v>
      </c>
      <c r="Z29" s="103">
        <f t="shared" ca="1" si="7"/>
        <v>1965.7095191395561</v>
      </c>
      <c r="AA29" s="103">
        <f t="shared" ca="1" si="8"/>
        <v>1926.9376015468645</v>
      </c>
      <c r="AB29" s="103">
        <f t="shared" ca="1" si="136"/>
        <v>80.347625098226601</v>
      </c>
      <c r="AC29" s="4">
        <v>13.3</v>
      </c>
      <c r="AD29" s="273">
        <f t="shared" ca="1" si="9"/>
        <v>13.482283729730769</v>
      </c>
      <c r="AE29" s="3">
        <f t="shared" ca="1" si="10"/>
        <v>125.60075054745361</v>
      </c>
      <c r="AF29" s="3">
        <f t="shared" ca="1" si="11"/>
        <v>215.03816517595916</v>
      </c>
      <c r="AG29" s="2">
        <f t="shared" ca="1" si="12"/>
        <v>584.08585492104783</v>
      </c>
      <c r="AH29" s="2">
        <f t="shared" ca="1" si="13"/>
        <v>246.16894679545427</v>
      </c>
      <c r="AI29" s="87">
        <f t="shared" si="14"/>
        <v>0.53843745241636221</v>
      </c>
      <c r="AJ29" s="87">
        <f t="shared" ca="1" si="15"/>
        <v>4.1158094950689392</v>
      </c>
      <c r="AK29" s="87">
        <f t="shared" ca="1" si="16"/>
        <v>0.30782274522815867</v>
      </c>
      <c r="AL29" s="86">
        <f t="shared" ca="1" si="17"/>
        <v>0.27382132624594629</v>
      </c>
      <c r="AM29" s="87">
        <f t="shared" ca="1" si="18"/>
        <v>0.35810619916055153</v>
      </c>
      <c r="AN29" s="87">
        <f t="shared" ca="1" si="19"/>
        <v>0.35810619916055192</v>
      </c>
      <c r="AO29" s="96">
        <f t="shared" ca="1" si="376"/>
        <v>41.511485671968472</v>
      </c>
      <c r="AP29" s="96">
        <f t="shared" ca="1" si="377"/>
        <v>6.3742782780423992</v>
      </c>
      <c r="AQ29" s="96">
        <f t="shared" ca="1" si="378"/>
        <v>52.114236049989117</v>
      </c>
      <c r="AR29" s="73"/>
      <c r="AS29" s="53">
        <f t="shared" ca="1" si="138"/>
        <v>83.922469784753687</v>
      </c>
      <c r="AT29" s="68">
        <f t="shared" ca="1" si="139"/>
        <v>93.579987135074219</v>
      </c>
      <c r="AU29" s="74">
        <f t="shared" ca="1" si="23"/>
        <v>0.35810619916055192</v>
      </c>
      <c r="AV29" s="68">
        <f t="shared" si="379"/>
        <v>1.687270000312884</v>
      </c>
      <c r="AW29" s="68">
        <f t="shared" ca="1" si="25"/>
        <v>1.7068604019922839</v>
      </c>
      <c r="AX29" s="69">
        <f t="shared" ca="1" si="380"/>
        <v>1821.1872167105353</v>
      </c>
      <c r="AY29" s="69">
        <f t="shared" ca="1" si="381"/>
        <v>1804.8387203820366</v>
      </c>
      <c r="AZ29" s="69">
        <f t="shared" ca="1" si="28"/>
        <v>1736.2591661414494</v>
      </c>
      <c r="BA29" s="75"/>
      <c r="BB29" s="74">
        <f t="shared" ca="1" si="382"/>
        <v>0.42146020952472729</v>
      </c>
      <c r="BC29" s="74">
        <f t="shared" ca="1" si="383"/>
        <v>6.0694513692247522E-2</v>
      </c>
      <c r="BD29" s="68">
        <f t="shared" si="29"/>
        <v>0.38080000000000003</v>
      </c>
      <c r="BE29" s="68">
        <f t="shared" ca="1" si="30"/>
        <v>0.53314406224060262</v>
      </c>
      <c r="BF29" s="68">
        <f t="shared" ca="1" si="31"/>
        <v>0.32458771804291991</v>
      </c>
      <c r="BH29" s="68">
        <f t="shared" ca="1" si="32"/>
        <v>0.40354888617988316</v>
      </c>
      <c r="BI29" s="68">
        <f t="shared" ca="1" si="33"/>
        <v>0.44730905781538666</v>
      </c>
      <c r="BK29" s="53">
        <f t="shared" ca="1" si="142"/>
        <v>0.86829456200789257</v>
      </c>
      <c r="BL29" s="53">
        <f t="shared" si="34"/>
        <v>0.53659738349457087</v>
      </c>
      <c r="BM29" s="53">
        <f t="shared" si="143"/>
        <v>0.6720110426516438</v>
      </c>
      <c r="BN29" s="53">
        <f t="shared" si="35"/>
        <v>1.1498838717287074</v>
      </c>
      <c r="BO29" s="53">
        <f t="shared" si="36"/>
        <v>0.61192669091228602</v>
      </c>
      <c r="BP29" s="53">
        <f t="shared" si="37"/>
        <v>0.52085773096042887</v>
      </c>
      <c r="BQ29" s="54">
        <f t="shared" si="38"/>
        <v>1565.3055999999999</v>
      </c>
      <c r="BR29" s="262">
        <f t="shared" si="39"/>
        <v>12.089377492935283</v>
      </c>
      <c r="BS29" s="54">
        <f t="shared" si="144"/>
        <v>1970.5389689659748</v>
      </c>
      <c r="BT29" s="67"/>
      <c r="BU29" s="73">
        <f t="shared" si="40"/>
        <v>0.76731025299600542</v>
      </c>
      <c r="BV29" s="73">
        <f t="shared" si="41"/>
        <v>5.4943679599499372E-3</v>
      </c>
      <c r="BW29" s="73">
        <f t="shared" si="42"/>
        <v>8.1208316987053747E-2</v>
      </c>
      <c r="BX29" s="73">
        <f t="shared" si="43"/>
        <v>0.16910229645093947</v>
      </c>
      <c r="BY29" s="73">
        <f t="shared" si="44"/>
        <v>2.9602480969833662E-3</v>
      </c>
      <c r="BZ29" s="73">
        <f t="shared" si="45"/>
        <v>0.67493796526054595</v>
      </c>
      <c r="CA29" s="73">
        <f t="shared" si="46"/>
        <v>0.13159771754636235</v>
      </c>
      <c r="CB29" s="73">
        <f t="shared" si="47"/>
        <v>1.3552758954501452E-2</v>
      </c>
      <c r="CC29" s="73">
        <f t="shared" si="48"/>
        <v>4.2462845010615713E-4</v>
      </c>
      <c r="CD29" s="73">
        <f t="shared" si="49"/>
        <v>0</v>
      </c>
      <c r="CE29" s="73">
        <f t="shared" si="50"/>
        <v>0</v>
      </c>
      <c r="CF29" s="73">
        <f t="shared" si="384"/>
        <v>1.8465885527024481</v>
      </c>
      <c r="CG29" s="73">
        <f t="shared" si="385"/>
        <v>0.41552854417572399</v>
      </c>
      <c r="CH29" s="73">
        <f t="shared" si="385"/>
        <v>2.9754153690106176E-3</v>
      </c>
      <c r="CI29" s="73">
        <f t="shared" si="385"/>
        <v>4.3977483163862831E-2</v>
      </c>
      <c r="CJ29" s="73">
        <f t="shared" si="385"/>
        <v>9.1575514319885379E-2</v>
      </c>
      <c r="CK29" s="73">
        <f t="shared" si="385"/>
        <v>1.6030902458758871E-3</v>
      </c>
      <c r="CL29" s="73">
        <f t="shared" si="385"/>
        <v>0.36550533375330779</v>
      </c>
      <c r="CM29" s="73">
        <f t="shared" si="385"/>
        <v>7.1265316441917456E-2</v>
      </c>
      <c r="CN29" s="73">
        <f t="shared" si="385"/>
        <v>7.339349599382732E-3</v>
      </c>
      <c r="CO29" s="73">
        <f t="shared" si="385"/>
        <v>2.2995293103313203E-4</v>
      </c>
      <c r="CP29" s="73">
        <f t="shared" si="386"/>
        <v>0</v>
      </c>
      <c r="CQ29" s="73">
        <f t="shared" si="387"/>
        <v>0</v>
      </c>
      <c r="CR29" s="73"/>
      <c r="CS29" s="73">
        <f t="shared" ca="1" si="55"/>
        <v>0.69093684540560041</v>
      </c>
      <c r="CT29" s="73">
        <f t="shared" ca="1" si="56"/>
        <v>8.8716468727103689E-2</v>
      </c>
      <c r="CU29" s="73">
        <f t="shared" ca="1" si="57"/>
        <v>1.2931572220840972</v>
      </c>
      <c r="CV29" s="73">
        <f t="shared" ca="1" si="58"/>
        <v>2.0728105362168012</v>
      </c>
      <c r="CW29" s="73">
        <f t="shared" ca="1" si="59"/>
        <v>0.33333333333333331</v>
      </c>
      <c r="CX29" s="73">
        <f t="shared" ca="1" si="60"/>
        <v>4.2800085766171822E-2</v>
      </c>
      <c r="CY29" s="73">
        <f t="shared" ca="1" si="61"/>
        <v>0.62386658090049485</v>
      </c>
      <c r="CZ29" s="73">
        <f t="shared" si="62"/>
        <v>0.52994925476098653</v>
      </c>
      <c r="DA29" s="73">
        <f t="shared" si="63"/>
        <v>0.41552854417572399</v>
      </c>
      <c r="DB29" s="73">
        <f t="shared" si="64"/>
        <v>-0.17826730063536247</v>
      </c>
      <c r="DC29" s="73"/>
      <c r="DD29" s="73">
        <f t="shared" ca="1" si="388"/>
        <v>1821.1872167105353</v>
      </c>
      <c r="DE29" s="73">
        <f t="shared" ca="1" si="389"/>
        <v>15637.396086877387</v>
      </c>
      <c r="DF29" s="73">
        <f t="shared" si="67"/>
        <v>7.4665130152431791</v>
      </c>
      <c r="DG29" s="73">
        <f t="shared" si="390"/>
        <v>1821.8552320489148</v>
      </c>
      <c r="DH29" s="73">
        <f t="shared" si="391"/>
        <v>1548.7052320489147</v>
      </c>
      <c r="DI29" s="73">
        <f t="shared" si="392"/>
        <v>13602.905801982104</v>
      </c>
      <c r="DJ29" s="73">
        <f t="shared" si="70"/>
        <v>7.4665130152431791</v>
      </c>
      <c r="DK29" s="73">
        <f t="shared" si="393"/>
        <v>1821.8552320489148</v>
      </c>
      <c r="DL29" s="73">
        <f t="shared" ca="1" si="72"/>
        <v>4.1158094950689392</v>
      </c>
      <c r="DM29" s="73">
        <f t="shared" si="73"/>
        <v>-0.17826730063536247</v>
      </c>
      <c r="DN29" s="73">
        <f t="shared" si="74"/>
        <v>0.52994925476098653</v>
      </c>
      <c r="DO29" s="73">
        <f t="shared" si="75"/>
        <v>0.41552854417572399</v>
      </c>
      <c r="DP29" s="73">
        <f t="shared" si="76"/>
        <v>1.687270000312884</v>
      </c>
      <c r="DQ29" s="73">
        <f t="shared" ca="1" si="77"/>
        <v>15637.444633412571</v>
      </c>
      <c r="DR29" s="73">
        <f t="shared" si="394"/>
        <v>7.4662897880710437</v>
      </c>
      <c r="DS29" s="73">
        <f t="shared" ca="1" si="395"/>
        <v>1821.2563353121723</v>
      </c>
      <c r="DT29" s="73">
        <f t="shared" si="396"/>
        <v>1548.7789387526459</v>
      </c>
      <c r="DU29" s="73">
        <f t="shared" ca="1" si="397"/>
        <v>1737.1528758869695</v>
      </c>
      <c r="DV29" s="76">
        <f t="shared" ca="1" si="82"/>
        <v>1.7068604019922839</v>
      </c>
      <c r="DW29" s="73">
        <f t="shared" ca="1" si="83"/>
        <v>2.670149660733117</v>
      </c>
      <c r="DX29" s="73">
        <f t="shared" ca="1" si="398"/>
        <v>4656.7399450833482</v>
      </c>
      <c r="DY29" s="73">
        <f t="shared" ca="1" si="399"/>
        <v>1743.9996018068862</v>
      </c>
      <c r="DZ29" s="73">
        <f t="shared" ca="1" si="85"/>
        <v>2.6478755654409678</v>
      </c>
      <c r="EA29" s="73"/>
      <c r="EB29" s="73">
        <f t="shared" si="86"/>
        <v>0.76731025299600542</v>
      </c>
      <c r="EC29" s="73">
        <f t="shared" si="87"/>
        <v>5.4943679599499372E-3</v>
      </c>
      <c r="ED29" s="73">
        <f t="shared" si="88"/>
        <v>4.0604158493526873E-2</v>
      </c>
      <c r="EE29" s="73">
        <f t="shared" si="89"/>
        <v>0.16910229645093947</v>
      </c>
      <c r="EF29" s="73">
        <f t="shared" si="90"/>
        <v>2.9602480969833662E-3</v>
      </c>
      <c r="EG29" s="73">
        <f t="shared" si="91"/>
        <v>0.67493796526054595</v>
      </c>
      <c r="EH29" s="73">
        <f t="shared" si="92"/>
        <v>0.13159771754636235</v>
      </c>
      <c r="EI29" s="73">
        <f t="shared" si="93"/>
        <v>6.7763794772507258E-3</v>
      </c>
      <c r="EJ29" s="73">
        <f t="shared" si="94"/>
        <v>2.1231422505307856E-4</v>
      </c>
      <c r="EK29" s="73">
        <f t="shared" si="95"/>
        <v>0</v>
      </c>
      <c r="EL29" s="73">
        <f t="shared" si="96"/>
        <v>0</v>
      </c>
      <c r="EM29" s="73">
        <f t="shared" si="400"/>
        <v>1.7989957005066168</v>
      </c>
      <c r="EN29" s="73">
        <f t="shared" si="401"/>
        <v>0.42652144903955158</v>
      </c>
      <c r="EO29" s="73">
        <f t="shared" si="401"/>
        <v>3.0541306788018801E-3</v>
      </c>
      <c r="EP29" s="73">
        <f t="shared" si="401"/>
        <v>2.2570458885528354E-2</v>
      </c>
      <c r="EQ29" s="73">
        <f t="shared" si="401"/>
        <v>9.399816597856149E-2</v>
      </c>
      <c r="ER29" s="73">
        <f t="shared" si="401"/>
        <v>1.6455003734304244E-3</v>
      </c>
      <c r="ES29" s="73">
        <f t="shared" si="401"/>
        <v>0.37517486288070395</v>
      </c>
      <c r="ET29" s="73">
        <f t="shared" si="401"/>
        <v>7.3150657063439886E-2</v>
      </c>
      <c r="EU29" s="73">
        <f t="shared" si="401"/>
        <v>3.7667569051679354E-3</v>
      </c>
      <c r="EV29" s="73">
        <f t="shared" si="401"/>
        <v>1.1801819481463383E-4</v>
      </c>
      <c r="EW29" s="73">
        <f t="shared" si="401"/>
        <v>0</v>
      </c>
      <c r="EX29" s="73">
        <f t="shared" si="401"/>
        <v>0</v>
      </c>
      <c r="EY29" s="73">
        <f t="shared" si="402"/>
        <v>1.0000000000000002</v>
      </c>
      <c r="EZ29" s="73">
        <f t="shared" si="100"/>
        <v>4.3977483163862831E-2</v>
      </c>
      <c r="FA29" s="73">
        <f t="shared" si="101"/>
        <v>0.46248144270859748</v>
      </c>
      <c r="FB29" s="73">
        <f t="shared" si="102"/>
        <v>1.4367080498614582</v>
      </c>
      <c r="FC29" s="73">
        <f t="shared" si="403"/>
        <v>1.0234903288885264</v>
      </c>
      <c r="FD29" s="73">
        <f t="shared" si="404"/>
        <v>2.2130408582326884</v>
      </c>
      <c r="FE29" s="73">
        <f t="shared" ca="1" si="105"/>
        <v>0.15390487306109399</v>
      </c>
      <c r="FF29" s="73">
        <f t="shared" ca="1" si="405"/>
        <v>1.1061835137566351E-2</v>
      </c>
      <c r="FG29" s="73">
        <f t="shared" ca="1" si="406"/>
        <v>7.1874495703428784E-2</v>
      </c>
      <c r="FH29" s="73">
        <f t="shared" ca="1" si="407"/>
        <v>0.19157598979727766</v>
      </c>
      <c r="FI29" s="73">
        <f t="shared" ca="1" si="147"/>
        <v>6.8604549556723779E-2</v>
      </c>
      <c r="FJ29" s="73">
        <f t="shared" ca="1" si="408"/>
        <v>0.35810619916055192</v>
      </c>
      <c r="FK29" s="73">
        <f t="shared" ca="1" si="409"/>
        <v>6.8604549556723765E-2</v>
      </c>
      <c r="FL29" s="73">
        <f t="shared" ca="1" si="109"/>
        <v>6.860454955672371E-2</v>
      </c>
      <c r="FM29" s="73"/>
      <c r="FN29" s="73"/>
      <c r="FO29" s="73"/>
      <c r="FP29" s="73">
        <f t="shared" ca="1" si="410"/>
        <v>1.8715997427014845</v>
      </c>
      <c r="FQ29" s="73">
        <f t="shared" ca="1" si="411"/>
        <v>0.12840025729851545</v>
      </c>
      <c r="FR29" s="73">
        <f t="shared" si="412"/>
        <v>0.33333333333333331</v>
      </c>
      <c r="FS29" s="73">
        <f t="shared" ca="1" si="413"/>
        <v>4.2800085766171815E-2</v>
      </c>
      <c r="FT29" s="73">
        <f t="shared" ca="1" si="414"/>
        <v>0.62386658090049485</v>
      </c>
      <c r="FU29" s="73">
        <f t="shared" si="415"/>
        <v>20.026666666666664</v>
      </c>
      <c r="FV29" s="73">
        <f t="shared" ca="1" si="416"/>
        <v>3.0751861622994445</v>
      </c>
      <c r="FW29" s="73">
        <f t="shared" ca="1" si="417"/>
        <v>25.141823210289942</v>
      </c>
      <c r="FX29" s="73">
        <f t="shared" ca="1" si="418"/>
        <v>48.243676039256052</v>
      </c>
      <c r="FY29" s="73">
        <f t="shared" ca="1" si="419"/>
        <v>41.511485671968472</v>
      </c>
      <c r="FZ29" s="73">
        <f t="shared" ca="1" si="419"/>
        <v>6.3742782780423992</v>
      </c>
      <c r="GA29" s="73">
        <f t="shared" ca="1" si="419"/>
        <v>52.114236049989117</v>
      </c>
      <c r="GB29" s="73">
        <f t="shared" ca="1" si="420"/>
        <v>93.579987135074219</v>
      </c>
      <c r="GC29" s="73">
        <f t="shared" ca="1" si="119"/>
        <v>4115809495.0689392</v>
      </c>
      <c r="GD29" s="2">
        <f t="shared" si="152"/>
        <v>38</v>
      </c>
      <c r="GE29">
        <f t="shared" ca="1" si="153"/>
        <v>1580.5687183606426</v>
      </c>
      <c r="GF29">
        <f t="shared" ca="1" si="120"/>
        <v>1580.5298945649952</v>
      </c>
      <c r="GG29">
        <f t="shared" ca="1" si="121"/>
        <v>1879.5872243676056</v>
      </c>
      <c r="GH29" s="2">
        <f t="shared" ca="1" si="122"/>
        <v>0.75005292786200595</v>
      </c>
      <c r="GI29" s="2">
        <f t="shared" ca="1" si="123"/>
        <v>0.9520255324891802</v>
      </c>
      <c r="GJ29" s="2">
        <f t="shared" ca="1" si="124"/>
        <v>-1.1197569688205671</v>
      </c>
      <c r="GK29" s="2">
        <f t="shared" ca="1" si="125"/>
        <v>1.1726156268363173</v>
      </c>
      <c r="GL29" s="2">
        <f t="shared" ca="1" si="154"/>
        <v>-0.75005292786200595</v>
      </c>
      <c r="GM29">
        <f t="shared" ca="1" si="155"/>
        <v>0.31830747808402737</v>
      </c>
      <c r="GN29">
        <f t="shared" ca="1" si="156"/>
        <v>3.2250802464182014E-2</v>
      </c>
      <c r="GO29">
        <f t="shared" ca="1" si="157"/>
        <v>-0.12921405760889387</v>
      </c>
      <c r="GP29">
        <f t="shared" ca="1" si="158"/>
        <v>-0.31982045552540811</v>
      </c>
      <c r="GQ29">
        <f t="shared" ca="1" si="159"/>
        <v>0.2706273367848927</v>
      </c>
      <c r="GR29">
        <f t="shared" ca="1" si="160"/>
        <v>0.10131965060421354</v>
      </c>
      <c r="GS29">
        <f t="shared" ca="1" si="161"/>
        <v>0.22285720038069626</v>
      </c>
      <c r="GT29">
        <f t="shared" ca="1" si="162"/>
        <v>4.8532205022364158E-3</v>
      </c>
      <c r="GU29">
        <f t="shared" ca="1" si="163"/>
        <v>0.76989669844959163</v>
      </c>
      <c r="GV29">
        <f t="shared" ca="1" si="164"/>
        <v>-0.21990961452572641</v>
      </c>
      <c r="GW29">
        <f t="shared" ca="1" si="165"/>
        <v>0.86829456200789257</v>
      </c>
      <c r="GY29" s="15">
        <f t="shared" si="166"/>
        <v>0.21317103767745491</v>
      </c>
      <c r="GZ29" s="2">
        <f t="shared" si="167"/>
        <v>2.5624589564330235E-2</v>
      </c>
      <c r="HA29" s="2">
        <f t="shared" si="168"/>
        <v>5.8800698669775844E-2</v>
      </c>
      <c r="HB29" s="2">
        <f t="shared" si="169"/>
        <v>0.29759632591156099</v>
      </c>
      <c r="HC29" s="2">
        <f t="shared" si="170"/>
        <v>0.71630937319032828</v>
      </c>
      <c r="HD29" s="2">
        <f t="shared" si="171"/>
        <v>8.6105194631822479E-2</v>
      </c>
      <c r="HE29" s="2">
        <f t="shared" si="172"/>
        <v>0.19758543217784921</v>
      </c>
      <c r="HF29" s="2">
        <f t="shared" si="127"/>
        <v>-1.3419276009879555</v>
      </c>
      <c r="HG29" s="2">
        <f t="shared" si="128"/>
        <v>-1.3363160002086649</v>
      </c>
      <c r="HH29" s="2">
        <f t="shared" si="173"/>
        <v>-1.3391218005983103</v>
      </c>
      <c r="HI29" s="2">
        <f t="shared" si="129"/>
        <v>2.3499475822457518</v>
      </c>
      <c r="HJ29" s="2">
        <f t="shared" si="130"/>
        <v>0.19179828993861495</v>
      </c>
      <c r="HK29" s="2">
        <f t="shared" si="131"/>
        <v>0.35367481076989621</v>
      </c>
      <c r="HL29" s="2">
        <f t="shared" si="132"/>
        <v>0.66008230452674888</v>
      </c>
    </row>
    <row r="30" spans="1:220" ht="20.25">
      <c r="A30" s="88" t="s">
        <v>150</v>
      </c>
      <c r="B30" s="77">
        <v>3500</v>
      </c>
      <c r="C30" s="95">
        <f t="shared" ca="1" si="373"/>
        <v>-2.0248242439423163</v>
      </c>
      <c r="D30" s="70">
        <f t="shared" ca="1" si="0"/>
        <v>-1.6026556417151769</v>
      </c>
      <c r="E30" s="71">
        <f t="shared" ca="1" si="1"/>
        <v>-2.0248242439423136</v>
      </c>
      <c r="F30" s="84">
        <v>45.8</v>
      </c>
      <c r="G30" s="84">
        <v>0.44700000000000001</v>
      </c>
      <c r="H30" s="84">
        <v>4.0999999999999996</v>
      </c>
      <c r="I30" s="84">
        <v>12.24</v>
      </c>
      <c r="J30" s="84">
        <v>0.19</v>
      </c>
      <c r="K30" s="84">
        <v>27.1</v>
      </c>
      <c r="L30" s="84">
        <v>7.59</v>
      </c>
      <c r="M30" s="84">
        <v>0.47</v>
      </c>
      <c r="N30" s="84">
        <v>0.02</v>
      </c>
      <c r="O30" s="84"/>
      <c r="P30" s="84"/>
      <c r="Q30" s="84"/>
      <c r="R30" s="72">
        <f t="shared" si="374"/>
        <v>97.957000000000008</v>
      </c>
      <c r="S30" s="106">
        <f t="shared" ca="1" si="2"/>
        <v>4.1755218305714283</v>
      </c>
      <c r="T30" s="104">
        <f t="shared" ca="1" si="135"/>
        <v>0.35781701834457136</v>
      </c>
      <c r="U30" s="107">
        <f t="shared" ca="1" si="375"/>
        <v>1809.4394855091825</v>
      </c>
      <c r="V30" s="107">
        <f t="shared" ca="1" si="375"/>
        <v>1738.8954699523335</v>
      </c>
      <c r="W30" s="105">
        <f t="shared" ca="1" si="4"/>
        <v>1739.7732891502294</v>
      </c>
      <c r="X30" s="102">
        <f t="shared" ca="1" si="5"/>
        <v>2038.5344826179728</v>
      </c>
      <c r="Y30" s="102">
        <f t="shared" ca="1" si="6"/>
        <v>1899.2410073804028</v>
      </c>
      <c r="Z30" s="103">
        <f t="shared" ca="1" si="7"/>
        <v>1961.4320869608869</v>
      </c>
      <c r="AA30" s="103">
        <f t="shared" ca="1" si="8"/>
        <v>1923.5703592762891</v>
      </c>
      <c r="AB30" s="103">
        <f t="shared" ca="1" si="136"/>
        <v>79.389592704568088</v>
      </c>
      <c r="AC30" s="4">
        <v>13.3</v>
      </c>
      <c r="AD30" s="273">
        <f t="shared" ca="1" si="9"/>
        <v>13.501668984185347</v>
      </c>
      <c r="AE30" s="3">
        <f t="shared" ca="1" si="10"/>
        <v>125.7064353475231</v>
      </c>
      <c r="AF30" s="3">
        <f t="shared" ca="1" si="11"/>
        <v>215.05546159718727</v>
      </c>
      <c r="AG30" s="2">
        <f t="shared" ca="1" si="12"/>
        <v>584.5303086651171</v>
      </c>
      <c r="AH30" s="2">
        <f t="shared" ca="1" si="13"/>
        <v>241.05140291657014</v>
      </c>
      <c r="AI30" s="87">
        <f t="shared" si="14"/>
        <v>0.54497548209912716</v>
      </c>
      <c r="AJ30" s="87">
        <f t="shared" ca="1" si="15"/>
        <v>4.1755218305714283</v>
      </c>
      <c r="AK30" s="87">
        <f t="shared" ca="1" si="16"/>
        <v>0.30761995170907419</v>
      </c>
      <c r="AL30" s="86">
        <f t="shared" ca="1" si="17"/>
        <v>0.27203584825624233</v>
      </c>
      <c r="AM30" s="87">
        <f t="shared" ca="1" si="18"/>
        <v>0.35781701834457141</v>
      </c>
      <c r="AN30" s="87">
        <f t="shared" ca="1" si="19"/>
        <v>0.35781701834457158</v>
      </c>
      <c r="AO30" s="96">
        <f t="shared" ca="1" si="376"/>
        <v>41.506560372261887</v>
      </c>
      <c r="AP30" s="96">
        <f t="shared" ca="1" si="377"/>
        <v>6.4005423770681249</v>
      </c>
      <c r="AQ30" s="96">
        <f t="shared" ca="1" si="378"/>
        <v>52.092897250669999</v>
      </c>
      <c r="AR30" s="73"/>
      <c r="AS30" s="53">
        <f t="shared" ca="1" si="138"/>
        <v>83.850433831686971</v>
      </c>
      <c r="AT30" s="68">
        <f t="shared" ca="1" si="139"/>
        <v>93.552769636710366</v>
      </c>
      <c r="AU30" s="74">
        <f t="shared" ca="1" si="23"/>
        <v>0.35781701834457158</v>
      </c>
      <c r="AV30" s="68">
        <f t="shared" si="379"/>
        <v>1.690600147616514</v>
      </c>
      <c r="AW30" s="68">
        <f t="shared" ca="1" si="25"/>
        <v>1.7109627985820082</v>
      </c>
      <c r="AX30" s="69">
        <f t="shared" ca="1" si="380"/>
        <v>1825.585187721611</v>
      </c>
      <c r="AY30" s="69">
        <f t="shared" ca="1" si="381"/>
        <v>1809.4394855091816</v>
      </c>
      <c r="AZ30" s="69">
        <f t="shared" ca="1" si="28"/>
        <v>1738.8954699523329</v>
      </c>
      <c r="BA30" s="75"/>
      <c r="BB30" s="74">
        <f t="shared" ca="1" si="382"/>
        <v>0.41238478029831593</v>
      </c>
      <c r="BC30" s="74">
        <f t="shared" ca="1" si="383"/>
        <v>6.5095077754494746E-2</v>
      </c>
      <c r="BD30" s="68">
        <f t="shared" si="29"/>
        <v>0.36798500000000012</v>
      </c>
      <c r="BE30" s="68">
        <f t="shared" ca="1" si="30"/>
        <v>0.52672913096876506</v>
      </c>
      <c r="BF30" s="68">
        <f t="shared" ca="1" si="31"/>
        <v>0.32015420105986653</v>
      </c>
      <c r="BH30" s="68">
        <f t="shared" ca="1" si="32"/>
        <v>0.38848454634474294</v>
      </c>
      <c r="BI30" s="68">
        <f t="shared" ca="1" si="33"/>
        <v>0.43467078916462859</v>
      </c>
      <c r="BK30" s="53">
        <f t="shared" ca="1" si="142"/>
        <v>0.87106052532496236</v>
      </c>
      <c r="BL30" s="53">
        <f t="shared" si="34"/>
        <v>0.52335689655221673</v>
      </c>
      <c r="BM30" s="53">
        <f t="shared" si="143"/>
        <v>0.66334554417974323</v>
      </c>
      <c r="BN30" s="53">
        <f t="shared" si="35"/>
        <v>1.1015385128837791</v>
      </c>
      <c r="BO30" s="53">
        <f t="shared" si="36"/>
        <v>0.56159136517618768</v>
      </c>
      <c r="BP30" s="53">
        <f t="shared" si="37"/>
        <v>0.4754561664126733</v>
      </c>
      <c r="BQ30" s="54">
        <f t="shared" si="38"/>
        <v>1563.7344000000001</v>
      </c>
      <c r="BR30" s="262">
        <f t="shared" si="39"/>
        <v>11.932221875776762</v>
      </c>
      <c r="BS30" s="54">
        <f t="shared" si="144"/>
        <v>1965.7229703453233</v>
      </c>
      <c r="BT30" s="67"/>
      <c r="BU30" s="73">
        <f t="shared" si="40"/>
        <v>0.76231691078561914</v>
      </c>
      <c r="BV30" s="73">
        <f t="shared" si="41"/>
        <v>5.5944931163954938E-3</v>
      </c>
      <c r="BW30" s="73">
        <f t="shared" si="42"/>
        <v>8.042369556688897E-2</v>
      </c>
      <c r="BX30" s="73">
        <f t="shared" si="43"/>
        <v>0.17035490605427978</v>
      </c>
      <c r="BY30" s="73">
        <f t="shared" si="44"/>
        <v>2.6783197067944743E-3</v>
      </c>
      <c r="BZ30" s="73">
        <f t="shared" si="45"/>
        <v>0.67245657568238226</v>
      </c>
      <c r="CA30" s="73">
        <f t="shared" si="46"/>
        <v>0.13534236804564909</v>
      </c>
      <c r="CB30" s="73">
        <f t="shared" si="47"/>
        <v>1.5166182639561149E-2</v>
      </c>
      <c r="CC30" s="73">
        <f t="shared" si="48"/>
        <v>4.2462845010615713E-4</v>
      </c>
      <c r="CD30" s="73">
        <f t="shared" si="49"/>
        <v>0</v>
      </c>
      <c r="CE30" s="73">
        <f t="shared" si="50"/>
        <v>0</v>
      </c>
      <c r="CF30" s="73">
        <f t="shared" si="384"/>
        <v>1.8447580800476764</v>
      </c>
      <c r="CG30" s="73">
        <f t="shared" si="385"/>
        <v>0.41323408149317747</v>
      </c>
      <c r="CH30" s="73">
        <f t="shared" si="385"/>
        <v>3.0326432375625688E-3</v>
      </c>
      <c r="CI30" s="73">
        <f t="shared" si="385"/>
        <v>4.3595795262656056E-2</v>
      </c>
      <c r="CJ30" s="73">
        <f t="shared" si="385"/>
        <v>9.2345390919701023E-2</v>
      </c>
      <c r="CK30" s="73">
        <f t="shared" si="385"/>
        <v>1.4518541676344116E-3</v>
      </c>
      <c r="CL30" s="73">
        <f t="shared" si="385"/>
        <v>0.36452290571618101</v>
      </c>
      <c r="CM30" s="73">
        <f t="shared" si="385"/>
        <v>7.336591692399648E-2</v>
      </c>
      <c r="CN30" s="73">
        <f t="shared" si="385"/>
        <v>8.2212311758348231E-3</v>
      </c>
      <c r="CO30" s="73">
        <f t="shared" si="385"/>
        <v>2.3018110325619657E-4</v>
      </c>
      <c r="CP30" s="73">
        <f t="shared" si="386"/>
        <v>0</v>
      </c>
      <c r="CQ30" s="73">
        <f t="shared" si="387"/>
        <v>0</v>
      </c>
      <c r="CR30" s="73"/>
      <c r="CS30" s="73">
        <f t="shared" ca="1" si="55"/>
        <v>0.69085486638252147</v>
      </c>
      <c r="CT30" s="73">
        <f t="shared" ca="1" si="56"/>
        <v>8.9082009423355951E-2</v>
      </c>
      <c r="CU30" s="73">
        <f t="shared" ca="1" si="57"/>
        <v>1.2926277233416874</v>
      </c>
      <c r="CV30" s="73">
        <f t="shared" ca="1" si="58"/>
        <v>2.0725645991475647</v>
      </c>
      <c r="CW30" s="73">
        <f t="shared" ca="1" si="59"/>
        <v>0.33333333333333326</v>
      </c>
      <c r="CX30" s="73">
        <f t="shared" ca="1" si="60"/>
        <v>4.2981535755264241E-2</v>
      </c>
      <c r="CY30" s="73">
        <f t="shared" ca="1" si="61"/>
        <v>0.62368513091140254</v>
      </c>
      <c r="CZ30" s="73">
        <f t="shared" si="62"/>
        <v>0.53168606772751292</v>
      </c>
      <c r="DA30" s="73">
        <f t="shared" si="63"/>
        <v>0.41323408149317747</v>
      </c>
      <c r="DB30" s="73">
        <f t="shared" si="64"/>
        <v>-0.17727202157993788</v>
      </c>
      <c r="DC30" s="73"/>
      <c r="DD30" s="73">
        <f t="shared" ca="1" si="388"/>
        <v>1825.585187721611</v>
      </c>
      <c r="DE30" s="73">
        <f t="shared" ca="1" si="389"/>
        <v>15666.91327379589</v>
      </c>
      <c r="DF30" s="73">
        <f t="shared" si="67"/>
        <v>7.4649309572037579</v>
      </c>
      <c r="DG30" s="73">
        <f t="shared" si="390"/>
        <v>1822.2413415431683</v>
      </c>
      <c r="DH30" s="73">
        <f t="shared" si="391"/>
        <v>1549.0913415431683</v>
      </c>
      <c r="DI30" s="73">
        <f t="shared" si="392"/>
        <v>13602.905801982104</v>
      </c>
      <c r="DJ30" s="73">
        <f t="shared" si="70"/>
        <v>7.4649309572037579</v>
      </c>
      <c r="DK30" s="73">
        <f t="shared" si="393"/>
        <v>1822.2413415431683</v>
      </c>
      <c r="DL30" s="73">
        <f t="shared" ca="1" si="72"/>
        <v>4.1755218305714283</v>
      </c>
      <c r="DM30" s="73">
        <f t="shared" si="73"/>
        <v>-0.17727202157993788</v>
      </c>
      <c r="DN30" s="73">
        <f t="shared" si="74"/>
        <v>0.53168606772751292</v>
      </c>
      <c r="DO30" s="73">
        <f t="shared" si="75"/>
        <v>0.41323408149317747</v>
      </c>
      <c r="DP30" s="73">
        <f t="shared" si="76"/>
        <v>1.690600147616514</v>
      </c>
      <c r="DQ30" s="73">
        <f t="shared" ca="1" si="77"/>
        <v>15666.960440851451</v>
      </c>
      <c r="DR30" s="73">
        <f t="shared" si="394"/>
        <v>7.4647077300316225</v>
      </c>
      <c r="DS30" s="73">
        <f t="shared" ca="1" si="395"/>
        <v>1825.6542676903414</v>
      </c>
      <c r="DT30" s="73">
        <f t="shared" si="396"/>
        <v>1549.1650754145294</v>
      </c>
      <c r="DU30" s="73">
        <f t="shared" ca="1" si="397"/>
        <v>1739.7732891502294</v>
      </c>
      <c r="DV30" s="76">
        <f t="shared" ca="1" si="82"/>
        <v>1.7109627985820082</v>
      </c>
      <c r="DW30" s="73">
        <f t="shared" ca="1" si="83"/>
        <v>2.6699927521733975</v>
      </c>
      <c r="DX30" s="73">
        <f t="shared" ca="1" si="398"/>
        <v>4660.0294976461801</v>
      </c>
      <c r="DY30" s="73">
        <f t="shared" ca="1" si="399"/>
        <v>1745.3341376499525</v>
      </c>
      <c r="DZ30" s="73">
        <f t="shared" ca="1" si="85"/>
        <v>2.6615982382983967</v>
      </c>
      <c r="EA30" s="73"/>
      <c r="EB30" s="73">
        <f t="shared" si="86"/>
        <v>0.76231691078561914</v>
      </c>
      <c r="EC30" s="73">
        <f t="shared" si="87"/>
        <v>5.5944931163954938E-3</v>
      </c>
      <c r="ED30" s="73">
        <f t="shared" si="88"/>
        <v>4.0211847783444485E-2</v>
      </c>
      <c r="EE30" s="73">
        <f t="shared" si="89"/>
        <v>0.17035490605427978</v>
      </c>
      <c r="EF30" s="73">
        <f t="shared" si="90"/>
        <v>2.6783197067944743E-3</v>
      </c>
      <c r="EG30" s="73">
        <f t="shared" si="91"/>
        <v>0.67245657568238226</v>
      </c>
      <c r="EH30" s="73">
        <f t="shared" si="92"/>
        <v>0.13534236804564909</v>
      </c>
      <c r="EI30" s="73">
        <f t="shared" si="93"/>
        <v>7.5830913197805746E-3</v>
      </c>
      <c r="EJ30" s="73">
        <f t="shared" si="94"/>
        <v>2.1231422505307856E-4</v>
      </c>
      <c r="EK30" s="73">
        <f t="shared" si="95"/>
        <v>0</v>
      </c>
      <c r="EL30" s="73">
        <f t="shared" si="96"/>
        <v>0</v>
      </c>
      <c r="EM30" s="73">
        <f t="shared" si="400"/>
        <v>1.7967508267193981</v>
      </c>
      <c r="EN30" s="73">
        <f t="shared" si="401"/>
        <v>0.42427525255546833</v>
      </c>
      <c r="EO30" s="73">
        <f t="shared" si="401"/>
        <v>3.1136722094127055E-3</v>
      </c>
      <c r="EP30" s="73">
        <f t="shared" si="401"/>
        <v>2.2380314056604823E-2</v>
      </c>
      <c r="EQ30" s="73">
        <f t="shared" si="401"/>
        <v>9.4812760634885973E-2</v>
      </c>
      <c r="ER30" s="73">
        <f t="shared" si="401"/>
        <v>1.4906461524688379E-3</v>
      </c>
      <c r="ES30" s="73">
        <f t="shared" si="401"/>
        <v>0.37426256645179273</v>
      </c>
      <c r="ET30" s="73">
        <f t="shared" si="401"/>
        <v>7.5326175467949716E-2</v>
      </c>
      <c r="EU30" s="73">
        <f t="shared" si="401"/>
        <v>4.2204468237959187E-3</v>
      </c>
      <c r="EV30" s="73">
        <f t="shared" si="401"/>
        <v>1.1816564762111895E-4</v>
      </c>
      <c r="EW30" s="73">
        <f t="shared" si="401"/>
        <v>0</v>
      </c>
      <c r="EX30" s="73">
        <f t="shared" si="401"/>
        <v>0</v>
      </c>
      <c r="EY30" s="73">
        <f t="shared" si="402"/>
        <v>1.0000000000000002</v>
      </c>
      <c r="EZ30" s="73">
        <f t="shared" si="100"/>
        <v>4.3595795262656056E-2</v>
      </c>
      <c r="FA30" s="73">
        <f t="shared" si="101"/>
        <v>0.45986251999339611</v>
      </c>
      <c r="FB30" s="73">
        <f t="shared" si="102"/>
        <v>1.4338389162225225</v>
      </c>
      <c r="FC30" s="73">
        <f t="shared" si="403"/>
        <v>1.0282277524714605</v>
      </c>
      <c r="FD30" s="73">
        <f t="shared" si="404"/>
        <v>2.2359459789987373</v>
      </c>
      <c r="FE30" s="73">
        <f t="shared" ca="1" si="105"/>
        <v>0.15766519493329437</v>
      </c>
      <c r="FF30" s="73">
        <f t="shared" ca="1" si="405"/>
        <v>1.1364956289939662E-2</v>
      </c>
      <c r="FG30" s="73">
        <f t="shared" ca="1" si="406"/>
        <v>7.2082848055006643E-2</v>
      </c>
      <c r="FH30" s="73">
        <f t="shared" ca="1" si="407"/>
        <v>0.19259967337473849</v>
      </c>
      <c r="FI30" s="73">
        <f t="shared" ca="1" si="147"/>
        <v>6.8915440861087279E-2</v>
      </c>
      <c r="FJ30" s="73">
        <f t="shared" ca="1" si="408"/>
        <v>0.35781701834457147</v>
      </c>
      <c r="FK30" s="73">
        <f t="shared" ca="1" si="409"/>
        <v>6.8915440861087293E-2</v>
      </c>
      <c r="FL30" s="73">
        <f t="shared" ca="1" si="109"/>
        <v>6.8915440861087265E-2</v>
      </c>
      <c r="FM30" s="73"/>
      <c r="FN30" s="73"/>
      <c r="FO30" s="73"/>
      <c r="FP30" s="73">
        <f t="shared" ca="1" si="410"/>
        <v>1.8710553927342073</v>
      </c>
      <c r="FQ30" s="73">
        <f t="shared" ca="1" si="411"/>
        <v>0.12894460726579271</v>
      </c>
      <c r="FR30" s="73">
        <f t="shared" si="412"/>
        <v>0.33333333333333331</v>
      </c>
      <c r="FS30" s="73">
        <f t="shared" ca="1" si="413"/>
        <v>4.2981535755264234E-2</v>
      </c>
      <c r="FT30" s="73">
        <f t="shared" ca="1" si="414"/>
        <v>0.62368513091140243</v>
      </c>
      <c r="FU30" s="73">
        <f t="shared" si="415"/>
        <v>20.026666666666664</v>
      </c>
      <c r="FV30" s="73">
        <f t="shared" ca="1" si="416"/>
        <v>3.0882233440157352</v>
      </c>
      <c r="FW30" s="73">
        <f t="shared" ca="1" si="417"/>
        <v>25.134510775729517</v>
      </c>
      <c r="FX30" s="73">
        <f t="shared" ca="1" si="418"/>
        <v>48.249400786411911</v>
      </c>
      <c r="FY30" s="73">
        <f t="shared" ca="1" si="419"/>
        <v>41.506560372261887</v>
      </c>
      <c r="FZ30" s="73">
        <f t="shared" ca="1" si="419"/>
        <v>6.4005423770681249</v>
      </c>
      <c r="GA30" s="73">
        <f t="shared" ca="1" si="419"/>
        <v>52.092897250669999</v>
      </c>
      <c r="GB30" s="73">
        <f t="shared" ca="1" si="420"/>
        <v>93.552769636710366</v>
      </c>
      <c r="GC30" s="73">
        <f t="shared" ca="1" si="119"/>
        <v>4175521830.5714283</v>
      </c>
      <c r="GD30" s="2">
        <f t="shared" si="152"/>
        <v>38</v>
      </c>
      <c r="GE30">
        <f t="shared" ca="1" si="153"/>
        <v>1585.959411280538</v>
      </c>
      <c r="GF30">
        <f t="shared" ca="1" si="120"/>
        <v>1585.9387003090619</v>
      </c>
      <c r="GG30">
        <f t="shared" ca="1" si="121"/>
        <v>1882.2916834926018</v>
      </c>
      <c r="GH30" s="2">
        <f t="shared" ca="1" si="122"/>
        <v>0.75417086340480732</v>
      </c>
      <c r="GI30" s="2">
        <f t="shared" ca="1" si="123"/>
        <v>0.9339924071674286</v>
      </c>
      <c r="GJ30" s="2">
        <f t="shared" ca="1" si="124"/>
        <v>-1.0856015129131436</v>
      </c>
      <c r="GK30" s="2">
        <f t="shared" ca="1" si="125"/>
        <v>1.1564335839151427</v>
      </c>
      <c r="GL30" s="2">
        <f t="shared" ca="1" si="154"/>
        <v>-0.75417086340480732</v>
      </c>
      <c r="GM30">
        <f t="shared" ca="1" si="155"/>
        <v>0.31291651851370056</v>
      </c>
      <c r="GN30">
        <f t="shared" ca="1" si="156"/>
        <v>3.0639767750264276E-2</v>
      </c>
      <c r="GO30">
        <f t="shared" ca="1" si="157"/>
        <v>-0.12636335386404174</v>
      </c>
      <c r="GP30">
        <f t="shared" ca="1" si="158"/>
        <v>-0.32607616809758233</v>
      </c>
      <c r="GQ30">
        <f t="shared" ca="1" si="159"/>
        <v>0.2692163274393351</v>
      </c>
      <c r="GR30">
        <f t="shared" ca="1" si="160"/>
        <v>9.7916747558735112E-2</v>
      </c>
      <c r="GS30">
        <f t="shared" ca="1" si="161"/>
        <v>0.23035258198380487</v>
      </c>
      <c r="GT30">
        <f t="shared" ca="1" si="162"/>
        <v>5.0265371135303927E-3</v>
      </c>
      <c r="GU30">
        <f t="shared" ca="1" si="163"/>
        <v>0.77825209411982565</v>
      </c>
      <c r="GV30">
        <f t="shared" ca="1" si="164"/>
        <v>-0.22010808730856479</v>
      </c>
      <c r="GW30">
        <f t="shared" ca="1" si="165"/>
        <v>0.87106052532496148</v>
      </c>
      <c r="GY30" s="15">
        <f t="shared" si="166"/>
        <v>0.21172483775898576</v>
      </c>
      <c r="GZ30" s="2">
        <f t="shared" si="167"/>
        <v>2.5493986266017531E-2</v>
      </c>
      <c r="HA30" s="2">
        <f t="shared" si="168"/>
        <v>5.2151505234279832E-2</v>
      </c>
      <c r="HB30" s="2">
        <f t="shared" si="169"/>
        <v>0.28937032925928313</v>
      </c>
      <c r="HC30" s="2">
        <f t="shared" si="170"/>
        <v>0.73167431609505118</v>
      </c>
      <c r="HD30" s="2">
        <f t="shared" si="171"/>
        <v>8.8101590551028036E-2</v>
      </c>
      <c r="HE30" s="2">
        <f t="shared" si="172"/>
        <v>0.18022409335392076</v>
      </c>
      <c r="HF30" s="2">
        <f t="shared" si="127"/>
        <v>-1.3610012344977385</v>
      </c>
      <c r="HG30" s="2">
        <f t="shared" si="128"/>
        <v>-1.3510297111310134</v>
      </c>
      <c r="HH30" s="2">
        <f t="shared" si="173"/>
        <v>-1.3560154728143758</v>
      </c>
      <c r="HI30" s="2">
        <f t="shared" si="129"/>
        <v>2.233752518295375</v>
      </c>
      <c r="HJ30" s="2">
        <f t="shared" si="130"/>
        <v>0.20723028139222432</v>
      </c>
      <c r="HK30" s="2">
        <f t="shared" si="131"/>
        <v>0.3535780735556433</v>
      </c>
      <c r="HL30" s="2">
        <f t="shared" si="132"/>
        <v>0.65522875816993464</v>
      </c>
    </row>
    <row r="31" spans="1:220" ht="20.25">
      <c r="A31" s="88" t="s">
        <v>150</v>
      </c>
      <c r="B31" s="77">
        <v>3500</v>
      </c>
      <c r="C31" s="95">
        <f t="shared" ca="1" si="373"/>
        <v>-2.1659153641770841</v>
      </c>
      <c r="D31" s="70">
        <f t="shared" ca="1" si="0"/>
        <v>-1.7843083159186459</v>
      </c>
      <c r="E31" s="71">
        <f t="shared" ca="1" si="1"/>
        <v>-2.1659153641770841</v>
      </c>
      <c r="F31" s="84">
        <v>46.3</v>
      </c>
      <c r="G31" s="84">
        <v>0.44400000000000001</v>
      </c>
      <c r="H31" s="84">
        <v>4.18</v>
      </c>
      <c r="I31" s="84">
        <v>12.15</v>
      </c>
      <c r="J31" s="84">
        <v>0.2</v>
      </c>
      <c r="K31" s="84">
        <v>26.8</v>
      </c>
      <c r="L31" s="84">
        <v>7.48</v>
      </c>
      <c r="M31" s="84">
        <v>0.49</v>
      </c>
      <c r="N31" s="84">
        <v>0.02</v>
      </c>
      <c r="O31" s="84"/>
      <c r="P31" s="84"/>
      <c r="Q31" s="84"/>
      <c r="R31" s="72">
        <f t="shared" si="374"/>
        <v>98.063999999999993</v>
      </c>
      <c r="S31" s="106">
        <f t="shared" ca="1" si="2"/>
        <v>3.9866481998501326</v>
      </c>
      <c r="T31" s="104">
        <f t="shared" ca="1" si="135"/>
        <v>0.35754876929880103</v>
      </c>
      <c r="U31" s="107">
        <f t="shared" ca="1" si="375"/>
        <v>1790.1171910281575</v>
      </c>
      <c r="V31" s="107">
        <f t="shared" ca="1" si="375"/>
        <v>1725.7383279261496</v>
      </c>
      <c r="W31" s="105">
        <f t="shared" ca="1" si="4"/>
        <v>1726.6170450013476</v>
      </c>
      <c r="X31" s="102">
        <f t="shared" ca="1" si="5"/>
        <v>2025.3705512390106</v>
      </c>
      <c r="Y31" s="102">
        <f t="shared" ca="1" si="6"/>
        <v>1891.409513442788</v>
      </c>
      <c r="Z31" s="103">
        <f t="shared" ca="1" si="7"/>
        <v>1952.0480513747411</v>
      </c>
      <c r="AA31" s="103">
        <f t="shared" ca="1" si="8"/>
        <v>1913.5031229007277</v>
      </c>
      <c r="AB31" s="103">
        <f t="shared" ca="1" si="136"/>
        <v>77.366067047847906</v>
      </c>
      <c r="AC31" s="4">
        <v>13.3</v>
      </c>
      <c r="AD31" s="273">
        <f t="shared" ca="1" si="9"/>
        <v>13.404907266450794</v>
      </c>
      <c r="AE31" s="3">
        <f t="shared" ca="1" si="10"/>
        <v>125.16846834316067</v>
      </c>
      <c r="AF31" s="3">
        <f t="shared" ca="1" si="11"/>
        <v>214.96887689653175</v>
      </c>
      <c r="AG31" s="2">
        <f t="shared" ca="1" si="12"/>
        <v>582.26321014556174</v>
      </c>
      <c r="AH31" s="2">
        <f t="shared" ca="1" si="13"/>
        <v>241.20544439753218</v>
      </c>
      <c r="AI31" s="87">
        <f t="shared" si="14"/>
        <v>0.53167494420112815</v>
      </c>
      <c r="AJ31" s="87">
        <f t="shared" ca="1" si="15"/>
        <v>3.9866481998501326</v>
      </c>
      <c r="AK31" s="87">
        <f t="shared" ca="1" si="16"/>
        <v>0.30584054778774294</v>
      </c>
      <c r="AL31" s="86">
        <f t="shared" ca="1" si="17"/>
        <v>0.27375990181240401</v>
      </c>
      <c r="AM31" s="87">
        <f t="shared" ca="1" si="18"/>
        <v>0.35754876929880103</v>
      </c>
      <c r="AN31" s="87">
        <f t="shared" ca="1" si="19"/>
        <v>0.35754876929880097</v>
      </c>
      <c r="AO31" s="96">
        <f t="shared" ca="1" si="376"/>
        <v>41.495525862702031</v>
      </c>
      <c r="AP31" s="96">
        <f t="shared" ca="1" si="377"/>
        <v>6.4593837611553866</v>
      </c>
      <c r="AQ31" s="96">
        <f t="shared" ca="1" si="378"/>
        <v>52.045090376142582</v>
      </c>
      <c r="AR31" s="73"/>
      <c r="AS31" s="53">
        <f t="shared" ca="1" si="138"/>
        <v>83.703387442705207</v>
      </c>
      <c r="AT31" s="68">
        <f t="shared" ca="1" si="139"/>
        <v>93.491768829462274</v>
      </c>
      <c r="AU31" s="74">
        <f t="shared" ca="1" si="23"/>
        <v>0.35754876929880097</v>
      </c>
      <c r="AV31" s="68">
        <f t="shared" si="379"/>
        <v>1.7090075691727042</v>
      </c>
      <c r="AW31" s="68">
        <f t="shared" ca="1" si="25"/>
        <v>1.72897038459298</v>
      </c>
      <c r="AX31" s="69">
        <f t="shared" ca="1" si="380"/>
        <v>1806.1632188049089</v>
      </c>
      <c r="AY31" s="69">
        <f t="shared" ca="1" si="381"/>
        <v>1790.1171910281575</v>
      </c>
      <c r="AZ31" s="69">
        <f t="shared" ca="1" si="28"/>
        <v>1725.7383279261496</v>
      </c>
      <c r="BA31" s="75"/>
      <c r="BB31" s="74">
        <f t="shared" ca="1" si="382"/>
        <v>0.41425499704374674</v>
      </c>
      <c r="BC31" s="74">
        <f t="shared" ca="1" si="383"/>
        <v>5.9711106541867412E-2</v>
      </c>
      <c r="BD31" s="68">
        <f t="shared" si="29"/>
        <v>0.37115000000000009</v>
      </c>
      <c r="BE31" s="68">
        <f t="shared" ca="1" si="30"/>
        <v>0.52299368881932051</v>
      </c>
      <c r="BF31" s="68">
        <f t="shared" ca="1" si="31"/>
        <v>0.32432686723215948</v>
      </c>
      <c r="BH31" s="68">
        <f t="shared" ca="1" si="32"/>
        <v>0.39308129916242784</v>
      </c>
      <c r="BI31" s="68">
        <f t="shared" ca="1" si="33"/>
        <v>0.43854943212350678</v>
      </c>
      <c r="BK31" s="53">
        <f t="shared" ca="1" si="142"/>
        <v>0.85280784439515966</v>
      </c>
      <c r="BL31" s="53">
        <f t="shared" si="34"/>
        <v>0.51361292317380991</v>
      </c>
      <c r="BM31" s="53">
        <f t="shared" si="143"/>
        <v>0.65689873010533617</v>
      </c>
      <c r="BN31" s="53">
        <f t="shared" si="35"/>
        <v>1.1145448720861737</v>
      </c>
      <c r="BO31" s="53">
        <f t="shared" si="36"/>
        <v>0.6233209509657488</v>
      </c>
      <c r="BP31" s="53">
        <f t="shared" si="37"/>
        <v>0.53218874761134072</v>
      </c>
      <c r="BQ31" s="54">
        <f t="shared" si="38"/>
        <v>1559.0016000000001</v>
      </c>
      <c r="BR31" s="262">
        <f t="shared" si="39"/>
        <v>11.473396624728244</v>
      </c>
      <c r="BS31" s="54">
        <f t="shared" si="144"/>
        <v>1951.3609632897428</v>
      </c>
      <c r="BT31" s="67"/>
      <c r="BU31" s="73">
        <f t="shared" si="40"/>
        <v>0.77063914780292941</v>
      </c>
      <c r="BV31" s="73">
        <f t="shared" si="41"/>
        <v>5.5569461827284098E-3</v>
      </c>
      <c r="BW31" s="73">
        <f t="shared" si="42"/>
        <v>8.199293840721851E-2</v>
      </c>
      <c r="BX31" s="73">
        <f t="shared" si="43"/>
        <v>0.16910229645093947</v>
      </c>
      <c r="BY31" s="73">
        <f t="shared" si="44"/>
        <v>2.8192839018889204E-3</v>
      </c>
      <c r="BZ31" s="73">
        <f t="shared" si="45"/>
        <v>0.66501240694789088</v>
      </c>
      <c r="CA31" s="73">
        <f t="shared" si="46"/>
        <v>0.13338088445078461</v>
      </c>
      <c r="CB31" s="73">
        <f t="shared" si="47"/>
        <v>1.5811552113585026E-2</v>
      </c>
      <c r="CC31" s="73">
        <f t="shared" si="48"/>
        <v>4.2462845010615713E-4</v>
      </c>
      <c r="CD31" s="73">
        <f t="shared" si="49"/>
        <v>0</v>
      </c>
      <c r="CE31" s="73">
        <f t="shared" si="50"/>
        <v>0</v>
      </c>
      <c r="CF31" s="73">
        <f t="shared" si="384"/>
        <v>1.8447400847080717</v>
      </c>
      <c r="CG31" s="73">
        <f t="shared" si="385"/>
        <v>0.41774944567591066</v>
      </c>
      <c r="CH31" s="73">
        <f t="shared" si="385"/>
        <v>3.0123193119684344E-3</v>
      </c>
      <c r="CI31" s="73">
        <f t="shared" si="385"/>
        <v>4.4446878498980422E-2</v>
      </c>
      <c r="CJ31" s="73">
        <f t="shared" si="385"/>
        <v>9.1667274892928738E-2</v>
      </c>
      <c r="CK31" s="73">
        <f t="shared" si="385"/>
        <v>1.5282824530454485E-3</v>
      </c>
      <c r="CL31" s="73">
        <f t="shared" si="385"/>
        <v>0.36049111333379436</v>
      </c>
      <c r="CM31" s="73">
        <f t="shared" si="385"/>
        <v>7.2303348074041554E-2</v>
      </c>
      <c r="CN31" s="73">
        <f t="shared" si="385"/>
        <v>8.5711544106698307E-3</v>
      </c>
      <c r="CO31" s="73">
        <f t="shared" si="385"/>
        <v>2.3018334866039091E-4</v>
      </c>
      <c r="CP31" s="73">
        <f t="shared" si="386"/>
        <v>0</v>
      </c>
      <c r="CQ31" s="73">
        <f t="shared" si="387"/>
        <v>0</v>
      </c>
      <c r="CR31" s="73"/>
      <c r="CS31" s="73">
        <f t="shared" ca="1" si="55"/>
        <v>0.69067120277466765</v>
      </c>
      <c r="CT31" s="73">
        <f t="shared" ca="1" si="56"/>
        <v>8.9900957009817498E-2</v>
      </c>
      <c r="CU31" s="73">
        <f t="shared" ca="1" si="57"/>
        <v>1.2914414485395183</v>
      </c>
      <c r="CV31" s="73">
        <f t="shared" ca="1" si="58"/>
        <v>2.0720136083240033</v>
      </c>
      <c r="CW31" s="73">
        <f t="shared" ca="1" si="59"/>
        <v>0.33333333333333326</v>
      </c>
      <c r="CX31" s="73">
        <f t="shared" ca="1" si="60"/>
        <v>4.3388207803584836E-2</v>
      </c>
      <c r="CY31" s="73">
        <f t="shared" ca="1" si="61"/>
        <v>0.62327845886308197</v>
      </c>
      <c r="CZ31" s="73">
        <f t="shared" si="62"/>
        <v>0.52599001875381013</v>
      </c>
      <c r="DA31" s="73">
        <f t="shared" si="63"/>
        <v>0.41774944567591066</v>
      </c>
      <c r="DB31" s="73">
        <f t="shared" si="64"/>
        <v>-0.18024528305657614</v>
      </c>
      <c r="DC31" s="73"/>
      <c r="DD31" s="73">
        <f t="shared" ca="1" si="388"/>
        <v>1806.1632188049089</v>
      </c>
      <c r="DE31" s="73">
        <f t="shared" ca="1" si="389"/>
        <v>15573.548674755129</v>
      </c>
      <c r="DF31" s="73">
        <f t="shared" si="67"/>
        <v>7.4897560088162516</v>
      </c>
      <c r="DG31" s="73">
        <f t="shared" si="390"/>
        <v>1816.2014604975136</v>
      </c>
      <c r="DH31" s="73">
        <f t="shared" si="391"/>
        <v>1543.0514604975137</v>
      </c>
      <c r="DI31" s="73">
        <f t="shared" si="392"/>
        <v>13602.905801982104</v>
      </c>
      <c r="DJ31" s="73">
        <f t="shared" si="70"/>
        <v>7.4897560088162516</v>
      </c>
      <c r="DK31" s="73">
        <f t="shared" si="393"/>
        <v>1816.2014604975136</v>
      </c>
      <c r="DL31" s="73">
        <f t="shared" ca="1" si="72"/>
        <v>3.9866481998501326</v>
      </c>
      <c r="DM31" s="73">
        <f t="shared" si="73"/>
        <v>-0.18024528305657614</v>
      </c>
      <c r="DN31" s="73">
        <f t="shared" si="74"/>
        <v>0.52599001875381013</v>
      </c>
      <c r="DO31" s="73">
        <f t="shared" si="75"/>
        <v>0.41774944567591066</v>
      </c>
      <c r="DP31" s="73">
        <f t="shared" si="76"/>
        <v>1.7090075691727042</v>
      </c>
      <c r="DQ31" s="73">
        <f t="shared" ca="1" si="77"/>
        <v>15573.600205185916</v>
      </c>
      <c r="DR31" s="73">
        <f t="shared" si="394"/>
        <v>7.4895327816441162</v>
      </c>
      <c r="DS31" s="73">
        <f t="shared" ca="1" si="395"/>
        <v>1806.2320735193002</v>
      </c>
      <c r="DT31" s="73">
        <f t="shared" si="396"/>
        <v>1543.1247699481769</v>
      </c>
      <c r="DU31" s="73">
        <f t="shared" ca="1" si="397"/>
        <v>1726.6170450013476</v>
      </c>
      <c r="DV31" s="76">
        <f t="shared" ca="1" si="82"/>
        <v>1.72897038459298</v>
      </c>
      <c r="DW31" s="73">
        <f t="shared" ca="1" si="83"/>
        <v>2.6794395779211313</v>
      </c>
      <c r="DX31" s="73">
        <f t="shared" ca="1" si="398"/>
        <v>4649.6244493297436</v>
      </c>
      <c r="DY31" s="73">
        <f t="shared" ca="1" si="399"/>
        <v>1735.2973687644037</v>
      </c>
      <c r="DZ31" s="73">
        <f t="shared" ca="1" si="85"/>
        <v>2.6750358901562068</v>
      </c>
      <c r="EA31" s="73"/>
      <c r="EB31" s="73">
        <f t="shared" si="86"/>
        <v>0.77063914780292941</v>
      </c>
      <c r="EC31" s="73">
        <f t="shared" si="87"/>
        <v>5.5569461827284098E-3</v>
      </c>
      <c r="ED31" s="73">
        <f t="shared" si="88"/>
        <v>4.0996469203609255E-2</v>
      </c>
      <c r="EE31" s="73">
        <f t="shared" si="89"/>
        <v>0.16910229645093947</v>
      </c>
      <c r="EF31" s="73">
        <f t="shared" si="90"/>
        <v>2.8192839018889204E-3</v>
      </c>
      <c r="EG31" s="73">
        <f t="shared" si="91"/>
        <v>0.66501240694789088</v>
      </c>
      <c r="EH31" s="73">
        <f t="shared" si="92"/>
        <v>0.13338088445078461</v>
      </c>
      <c r="EI31" s="73">
        <f t="shared" si="93"/>
        <v>7.9057760567925132E-3</v>
      </c>
      <c r="EJ31" s="73">
        <f t="shared" si="94"/>
        <v>2.1231422505307856E-4</v>
      </c>
      <c r="EK31" s="73">
        <f t="shared" si="95"/>
        <v>0</v>
      </c>
      <c r="EL31" s="73">
        <f t="shared" si="96"/>
        <v>0</v>
      </c>
      <c r="EM31" s="73">
        <f t="shared" si="400"/>
        <v>1.7956255252226163</v>
      </c>
      <c r="EN31" s="73">
        <f t="shared" si="401"/>
        <v>0.42917587045739275</v>
      </c>
      <c r="EO31" s="73">
        <f t="shared" si="401"/>
        <v>3.0947132933184809E-3</v>
      </c>
      <c r="EP31" s="73">
        <f t="shared" si="401"/>
        <v>2.2831302310946284E-2</v>
      </c>
      <c r="EQ31" s="73">
        <f t="shared" si="401"/>
        <v>9.4174589342605086E-2</v>
      </c>
      <c r="ER31" s="73">
        <f t="shared" si="401"/>
        <v>1.5700845539825983E-3</v>
      </c>
      <c r="ES31" s="73">
        <f t="shared" si="401"/>
        <v>0.37035138875375734</v>
      </c>
      <c r="ET31" s="73">
        <f t="shared" si="401"/>
        <v>7.4281013817871874E-2</v>
      </c>
      <c r="EU31" s="73">
        <f t="shared" si="401"/>
        <v>4.4027977692132547E-3</v>
      </c>
      <c r="EV31" s="73">
        <f t="shared" si="401"/>
        <v>1.1823970091244747E-4</v>
      </c>
      <c r="EW31" s="73">
        <f t="shared" si="401"/>
        <v>0</v>
      </c>
      <c r="EX31" s="73">
        <f t="shared" si="401"/>
        <v>0</v>
      </c>
      <c r="EY31" s="73">
        <f t="shared" si="402"/>
        <v>1.0000000000000002</v>
      </c>
      <c r="EZ31" s="73">
        <f t="shared" si="100"/>
        <v>4.4446878498980422E-2</v>
      </c>
      <c r="FA31" s="73">
        <f t="shared" si="101"/>
        <v>0.46520864348685953</v>
      </c>
      <c r="FB31" s="73">
        <f t="shared" si="102"/>
        <v>1.438584535357704</v>
      </c>
      <c r="FC31" s="73">
        <f t="shared" si="403"/>
        <v>1.0163344967679699</v>
      </c>
      <c r="FD31" s="73">
        <f t="shared" si="404"/>
        <v>2.1846853255998839</v>
      </c>
      <c r="FE31" s="73">
        <f t="shared" ca="1" si="105"/>
        <v>0.1530334919973306</v>
      </c>
      <c r="FF31" s="73">
        <f t="shared" ca="1" si="405"/>
        <v>1.1034553695273843E-2</v>
      </c>
      <c r="FG31" s="73">
        <f t="shared" ca="1" si="406"/>
        <v>7.2105481952057404E-2</v>
      </c>
      <c r="FH31" s="73">
        <f t="shared" ca="1" si="407"/>
        <v>0.19469477944903715</v>
      </c>
      <c r="FI31" s="73">
        <f t="shared" ca="1" si="147"/>
        <v>6.9612878780904719E-2</v>
      </c>
      <c r="FJ31" s="73">
        <f t="shared" ca="1" si="408"/>
        <v>0.35754876929880097</v>
      </c>
      <c r="FK31" s="73">
        <f t="shared" ca="1" si="409"/>
        <v>6.9612878780904747E-2</v>
      </c>
      <c r="FL31" s="73">
        <f t="shared" ca="1" si="109"/>
        <v>6.9612878780904733E-2</v>
      </c>
      <c r="FM31" s="73"/>
      <c r="FN31" s="73"/>
      <c r="FO31" s="73"/>
      <c r="FP31" s="73">
        <f t="shared" ca="1" si="410"/>
        <v>1.8698353765892455</v>
      </c>
      <c r="FQ31" s="73">
        <f t="shared" ca="1" si="411"/>
        <v>0.13016462341075452</v>
      </c>
      <c r="FR31" s="73">
        <f t="shared" si="412"/>
        <v>0.33333333333333331</v>
      </c>
      <c r="FS31" s="73">
        <f t="shared" ca="1" si="413"/>
        <v>4.3388207803584843E-2</v>
      </c>
      <c r="FT31" s="73">
        <f t="shared" ca="1" si="414"/>
        <v>0.62327845886308186</v>
      </c>
      <c r="FU31" s="73">
        <f t="shared" si="415"/>
        <v>20.026666666666664</v>
      </c>
      <c r="FV31" s="73">
        <f t="shared" ca="1" si="416"/>
        <v>3.1174427306875705</v>
      </c>
      <c r="FW31" s="73">
        <f t="shared" ca="1" si="417"/>
        <v>25.118121892182199</v>
      </c>
      <c r="FX31" s="73">
        <f t="shared" ca="1" si="418"/>
        <v>48.26223128953643</v>
      </c>
      <c r="FY31" s="73">
        <f t="shared" ca="1" si="419"/>
        <v>41.495525862702031</v>
      </c>
      <c r="FZ31" s="73">
        <f t="shared" ca="1" si="419"/>
        <v>6.4593837611553866</v>
      </c>
      <c r="GA31" s="73">
        <f t="shared" ca="1" si="419"/>
        <v>52.045090376142582</v>
      </c>
      <c r="GB31" s="73">
        <f t="shared" ca="1" si="420"/>
        <v>93.491768829462274</v>
      </c>
      <c r="GC31" s="73">
        <f t="shared" ca="1" si="119"/>
        <v>3986648199.8501325</v>
      </c>
      <c r="GD31" s="2">
        <f t="shared" si="152"/>
        <v>38</v>
      </c>
      <c r="GE31">
        <f t="shared" ca="1" si="153"/>
        <v>1568.7829298915631</v>
      </c>
      <c r="GF31">
        <f t="shared" ca="1" si="120"/>
        <v>1568.7058165708268</v>
      </c>
      <c r="GG31">
        <f t="shared" ca="1" si="121"/>
        <v>1873.6580602635977</v>
      </c>
      <c r="GH31" s="2">
        <f t="shared" ca="1" si="122"/>
        <v>0.72605261655459485</v>
      </c>
      <c r="GI31" s="2">
        <f t="shared" ca="1" si="123"/>
        <v>0.99103224364525988</v>
      </c>
      <c r="GJ31" s="2">
        <f t="shared" ca="1" si="124"/>
        <v>-1.1936372296857245</v>
      </c>
      <c r="GK31" s="2">
        <f t="shared" ca="1" si="125"/>
        <v>1.2076183378406138</v>
      </c>
      <c r="GL31" s="2">
        <f t="shared" ca="1" si="154"/>
        <v>-0.72605261655459485</v>
      </c>
      <c r="GM31">
        <f t="shared" ca="1" si="155"/>
        <v>0.32947419237883568</v>
      </c>
      <c r="GN31">
        <f t="shared" ca="1" si="156"/>
        <v>3.5765492213711593E-2</v>
      </c>
      <c r="GO31">
        <f t="shared" ca="1" si="157"/>
        <v>-0.13519153273221612</v>
      </c>
      <c r="GP31">
        <f t="shared" ca="1" si="158"/>
        <v>-0.30061344458087474</v>
      </c>
      <c r="GQ31">
        <f t="shared" ca="1" si="159"/>
        <v>0.27355007030266437</v>
      </c>
      <c r="GR31">
        <f t="shared" ca="1" si="160"/>
        <v>0.10855324344368603</v>
      </c>
      <c r="GS31">
        <f t="shared" ca="1" si="161"/>
        <v>0.20118740406237021</v>
      </c>
      <c r="GT31">
        <f t="shared" ca="1" si="162"/>
        <v>4.4918658386910917E-3</v>
      </c>
      <c r="GU31">
        <f t="shared" ca="1" si="163"/>
        <v>0.74485038811697801</v>
      </c>
      <c r="GV31">
        <f t="shared" ca="1" si="164"/>
        <v>-0.22151673610065403</v>
      </c>
      <c r="GW31">
        <f t="shared" ca="1" si="165"/>
        <v>0.85280784439515966</v>
      </c>
      <c r="GY31" s="15">
        <f t="shared" si="166"/>
        <v>0.21011856572981816</v>
      </c>
      <c r="GZ31" s="2">
        <f t="shared" si="167"/>
        <v>2.5926015604264763E-2</v>
      </c>
      <c r="HA31" s="2">
        <f t="shared" si="168"/>
        <v>6.0082273942299536E-2</v>
      </c>
      <c r="HB31" s="2">
        <f t="shared" si="169"/>
        <v>0.29612685527638249</v>
      </c>
      <c r="HC31" s="2">
        <f t="shared" si="170"/>
        <v>0.70955592843381032</v>
      </c>
      <c r="HD31" s="2">
        <f t="shared" si="171"/>
        <v>8.7550369520074001E-2</v>
      </c>
      <c r="HE31" s="2">
        <f t="shared" si="172"/>
        <v>0.20289370204611556</v>
      </c>
      <c r="HF31" s="2">
        <f t="shared" si="127"/>
        <v>-1.3354129127966763</v>
      </c>
      <c r="HG31" s="2">
        <f t="shared" si="128"/>
        <v>-1.3310412680407491</v>
      </c>
      <c r="HH31" s="2">
        <f t="shared" si="173"/>
        <v>-1.3332270904187127</v>
      </c>
      <c r="HI31" s="2">
        <f t="shared" si="129"/>
        <v>2.3857262270400135</v>
      </c>
      <c r="HJ31" s="2">
        <f t="shared" si="130"/>
        <v>0.18713959563352228</v>
      </c>
      <c r="HK31" s="2">
        <f t="shared" si="131"/>
        <v>0.35328376587213184</v>
      </c>
      <c r="HL31" s="2">
        <f t="shared" si="132"/>
        <v>0.66008230452674888</v>
      </c>
    </row>
    <row r="32" spans="1:220" ht="20.25">
      <c r="A32" s="88" t="s">
        <v>150</v>
      </c>
      <c r="B32" s="77">
        <v>3500</v>
      </c>
      <c r="C32" s="95">
        <f t="shared" ca="1" si="373"/>
        <v>-2.3765213230824949</v>
      </c>
      <c r="D32" s="70">
        <f t="shared" ca="1" si="0"/>
        <v>-2.0496651442724092</v>
      </c>
      <c r="E32" s="71">
        <f t="shared" ca="1" si="1"/>
        <v>-2.3765213230824962</v>
      </c>
      <c r="F32" s="84">
        <v>46.4</v>
      </c>
      <c r="G32" s="84">
        <v>0.496</v>
      </c>
      <c r="H32" s="84">
        <v>4.05</v>
      </c>
      <c r="I32" s="84">
        <v>12.15</v>
      </c>
      <c r="J32" s="84">
        <v>0.2</v>
      </c>
      <c r="K32" s="84">
        <v>26.1</v>
      </c>
      <c r="L32" s="84">
        <v>8.24</v>
      </c>
      <c r="M32" s="84">
        <v>0.48</v>
      </c>
      <c r="N32" s="84">
        <v>0.01</v>
      </c>
      <c r="O32" s="84"/>
      <c r="P32" s="84"/>
      <c r="Q32" s="84"/>
      <c r="R32" s="72">
        <f t="shared" si="374"/>
        <v>98.126000000000005</v>
      </c>
      <c r="S32" s="106">
        <f t="shared" ca="1" si="2"/>
        <v>3.734635510695925</v>
      </c>
      <c r="T32" s="104">
        <f t="shared" ca="1" si="135"/>
        <v>0.35578992778556739</v>
      </c>
      <c r="U32" s="107">
        <f t="shared" ca="1" si="375"/>
        <v>1760.965683503435</v>
      </c>
      <c r="V32" s="107">
        <f t="shared" ca="1" si="375"/>
        <v>1705.5091708696971</v>
      </c>
      <c r="W32" s="105">
        <f t="shared" ca="1" si="4"/>
        <v>1705.2481680265141</v>
      </c>
      <c r="X32" s="102">
        <f t="shared" ca="1" si="5"/>
        <v>1996.877094296133</v>
      </c>
      <c r="Y32" s="102">
        <f t="shared" ca="1" si="6"/>
        <v>1875.2229153257624</v>
      </c>
      <c r="Z32" s="103">
        <f t="shared" ca="1" si="7"/>
        <v>1927.3426632537498</v>
      </c>
      <c r="AA32" s="103">
        <f t="shared" ca="1" si="8"/>
        <v>1888.9487896513056</v>
      </c>
      <c r="AB32" s="103">
        <f t="shared" ca="1" si="136"/>
        <v>72.106150531262642</v>
      </c>
      <c r="AC32" s="4">
        <v>13.3</v>
      </c>
      <c r="AD32" s="273">
        <f t="shared" ca="1" si="9"/>
        <v>13.25606358379736</v>
      </c>
      <c r="AE32" s="3">
        <f t="shared" ca="1" si="10"/>
        <v>124.29001335259311</v>
      </c>
      <c r="AF32" s="3">
        <f t="shared" ca="1" si="11"/>
        <v>214.83445636147266</v>
      </c>
      <c r="AG32" s="2">
        <f t="shared" ca="1" si="12"/>
        <v>578.53854292100721</v>
      </c>
      <c r="AH32" s="2">
        <f t="shared" ca="1" si="13"/>
        <v>232.94618457370004</v>
      </c>
      <c r="AI32" s="87">
        <f t="shared" si="14"/>
        <v>0.52787949559529246</v>
      </c>
      <c r="AJ32" s="87">
        <f t="shared" ca="1" si="15"/>
        <v>3.7346355106959308</v>
      </c>
      <c r="AK32" s="87">
        <f t="shared" ca="1" si="16"/>
        <v>0.30276946292528362</v>
      </c>
      <c r="AL32" s="86">
        <f t="shared" ca="1" si="17"/>
        <v>0.27248995563132972</v>
      </c>
      <c r="AM32" s="87">
        <f t="shared" ca="1" si="18"/>
        <v>0.35578992778556739</v>
      </c>
      <c r="AN32" s="87">
        <f t="shared" ca="1" si="19"/>
        <v>0.35578992778556795</v>
      </c>
      <c r="AO32" s="96">
        <f t="shared" ca="1" si="376"/>
        <v>41.471304397999859</v>
      </c>
      <c r="AP32" s="96">
        <f t="shared" ca="1" si="377"/>
        <v>6.5885444184520434</v>
      </c>
      <c r="AQ32" s="96">
        <f t="shared" ca="1" si="378"/>
        <v>51.940151183548089</v>
      </c>
      <c r="AR32" s="73"/>
      <c r="AS32" s="53">
        <f t="shared" ca="1" si="138"/>
        <v>83.335223365858312</v>
      </c>
      <c r="AT32" s="68">
        <f t="shared" ca="1" si="139"/>
        <v>93.35775426522008</v>
      </c>
      <c r="AU32" s="74">
        <f t="shared" ca="1" si="23"/>
        <v>0.35578992778556795</v>
      </c>
      <c r="AV32" s="68">
        <f t="shared" si="379"/>
        <v>1.7471081025869011</v>
      </c>
      <c r="AW32" s="68">
        <f t="shared" ca="1" si="25"/>
        <v>1.7683878880096899</v>
      </c>
      <c r="AX32" s="69">
        <f t="shared" ca="1" si="380"/>
        <v>1776.2981235743378</v>
      </c>
      <c r="AY32" s="69">
        <f t="shared" ca="1" si="381"/>
        <v>1760.9656835034348</v>
      </c>
      <c r="AZ32" s="69">
        <f t="shared" ca="1" si="28"/>
        <v>1705.5091708696966</v>
      </c>
      <c r="BA32" s="75"/>
      <c r="BB32" s="74">
        <f t="shared" ca="1" si="382"/>
        <v>0.40264592121653414</v>
      </c>
      <c r="BC32" s="74">
        <f t="shared" ca="1" si="383"/>
        <v>6.1102019232244148E-2</v>
      </c>
      <c r="BD32" s="68">
        <f t="shared" si="29"/>
        <v>0.36010999999999993</v>
      </c>
      <c r="BE32" s="68">
        <f t="shared" ca="1" si="30"/>
        <v>0.50576683333633932</v>
      </c>
      <c r="BF32" s="68">
        <f t="shared" ca="1" si="31"/>
        <v>0.32535132248008664</v>
      </c>
      <c r="BH32" s="68">
        <f t="shared" ca="1" si="32"/>
        <v>0.369883904726726</v>
      </c>
      <c r="BI32" s="68">
        <f t="shared" ca="1" si="33"/>
        <v>0.41935552904971529</v>
      </c>
      <c r="BK32" s="53">
        <f t="shared" ca="1" si="142"/>
        <v>0.82178537775501348</v>
      </c>
      <c r="BL32" s="53">
        <f t="shared" si="34"/>
        <v>0.47197722764848543</v>
      </c>
      <c r="BM32" s="53">
        <f t="shared" si="143"/>
        <v>0.62843533431811049</v>
      </c>
      <c r="BN32" s="53">
        <f t="shared" si="35"/>
        <v>1.0454414334761424</v>
      </c>
      <c r="BO32" s="53">
        <f t="shared" si="36"/>
        <v>0.59712707827669043</v>
      </c>
      <c r="BP32" s="53">
        <f t="shared" si="37"/>
        <v>0.50936435037461281</v>
      </c>
      <c r="BQ32" s="54">
        <f t="shared" si="38"/>
        <v>1547.8464000000001</v>
      </c>
      <c r="BR32" s="262">
        <f t="shared" si="39"/>
        <v>10.472927943474406</v>
      </c>
      <c r="BS32" s="54">
        <f t="shared" si="144"/>
        <v>1918.3475100496153</v>
      </c>
      <c r="BT32" s="67"/>
      <c r="BU32" s="73">
        <f t="shared" si="40"/>
        <v>0.77230359520639147</v>
      </c>
      <c r="BV32" s="73">
        <f t="shared" si="41"/>
        <v>6.2077596996245304E-3</v>
      </c>
      <c r="BW32" s="73">
        <f t="shared" si="42"/>
        <v>7.9442918791683012E-2</v>
      </c>
      <c r="BX32" s="73">
        <f t="shared" si="43"/>
        <v>0.16910229645093947</v>
      </c>
      <c r="BY32" s="73">
        <f t="shared" si="44"/>
        <v>2.8192839018889204E-3</v>
      </c>
      <c r="BZ32" s="73">
        <f t="shared" si="45"/>
        <v>0.64764267990074453</v>
      </c>
      <c r="CA32" s="73">
        <f t="shared" si="46"/>
        <v>0.14693295292439373</v>
      </c>
      <c r="CB32" s="73">
        <f t="shared" si="47"/>
        <v>1.5488867376573089E-2</v>
      </c>
      <c r="CC32" s="73">
        <f t="shared" si="48"/>
        <v>2.1231422505307856E-4</v>
      </c>
      <c r="CD32" s="73">
        <f t="shared" si="49"/>
        <v>0</v>
      </c>
      <c r="CE32" s="73">
        <f t="shared" si="50"/>
        <v>0</v>
      </c>
      <c r="CF32" s="73">
        <f t="shared" si="384"/>
        <v>1.840152668477292</v>
      </c>
      <c r="CG32" s="73">
        <f t="shared" si="385"/>
        <v>0.41969539182064985</v>
      </c>
      <c r="CH32" s="73">
        <f t="shared" si="385"/>
        <v>3.3735025392003966E-3</v>
      </c>
      <c r="CI32" s="73">
        <f t="shared" si="385"/>
        <v>4.3171917283048714E-2</v>
      </c>
      <c r="CJ32" s="73">
        <f t="shared" si="385"/>
        <v>9.189579720625568E-2</v>
      </c>
      <c r="CK32" s="73">
        <f t="shared" si="385"/>
        <v>1.5320923911285305E-3</v>
      </c>
      <c r="CL32" s="73">
        <f t="shared" si="385"/>
        <v>0.35195051529972371</v>
      </c>
      <c r="CM32" s="73">
        <f t="shared" si="385"/>
        <v>7.984824055168166E-2</v>
      </c>
      <c r="CN32" s="73">
        <f t="shared" si="385"/>
        <v>8.4171643157140725E-3</v>
      </c>
      <c r="CO32" s="73">
        <f t="shared" si="385"/>
        <v>1.1537859259730144E-4</v>
      </c>
      <c r="CP32" s="73">
        <f t="shared" si="386"/>
        <v>0</v>
      </c>
      <c r="CQ32" s="73">
        <f t="shared" si="387"/>
        <v>0</v>
      </c>
      <c r="CR32" s="73"/>
      <c r="CS32" s="73">
        <f t="shared" ca="1" si="55"/>
        <v>0.69026804923435181</v>
      </c>
      <c r="CT32" s="73">
        <f t="shared" ca="1" si="56"/>
        <v>9.1698600117634574E-2</v>
      </c>
      <c r="CU32" s="73">
        <f t="shared" ca="1" si="57"/>
        <v>1.2888374983510693</v>
      </c>
      <c r="CV32" s="73">
        <f t="shared" ca="1" si="58"/>
        <v>2.0708041477030559</v>
      </c>
      <c r="CW32" s="73">
        <f t="shared" ca="1" si="59"/>
        <v>0.33333333333333326</v>
      </c>
      <c r="CX32" s="73">
        <f t="shared" ca="1" si="60"/>
        <v>4.4281638231866122E-2</v>
      </c>
      <c r="CY32" s="73">
        <f t="shared" ca="1" si="61"/>
        <v>0.62238502843480048</v>
      </c>
      <c r="CZ32" s="73">
        <f t="shared" si="62"/>
        <v>0.52522664544878961</v>
      </c>
      <c r="DA32" s="73">
        <f t="shared" si="63"/>
        <v>0.41969539182064985</v>
      </c>
      <c r="DB32" s="73">
        <f t="shared" si="64"/>
        <v>-0.17811484882907008</v>
      </c>
      <c r="DC32" s="73"/>
      <c r="DD32" s="73">
        <f t="shared" ca="1" si="388"/>
        <v>1776.2981235743378</v>
      </c>
      <c r="DE32" s="73">
        <f t="shared" ca="1" si="389"/>
        <v>15448.972980486898</v>
      </c>
      <c r="DF32" s="73">
        <f t="shared" si="67"/>
        <v>7.5381137013329882</v>
      </c>
      <c r="DG32" s="73">
        <f t="shared" si="390"/>
        <v>1804.5503611303527</v>
      </c>
      <c r="DH32" s="73">
        <f t="shared" si="391"/>
        <v>1531.4003611303528</v>
      </c>
      <c r="DI32" s="73">
        <f t="shared" si="392"/>
        <v>13602.905801982104</v>
      </c>
      <c r="DJ32" s="73">
        <f t="shared" si="70"/>
        <v>7.5381137013329882</v>
      </c>
      <c r="DK32" s="73">
        <f t="shared" si="393"/>
        <v>1804.5503611303527</v>
      </c>
      <c r="DL32" s="73">
        <f t="shared" ca="1" si="72"/>
        <v>3.734635510695925</v>
      </c>
      <c r="DM32" s="73">
        <f t="shared" si="73"/>
        <v>-0.17811484882907008</v>
      </c>
      <c r="DN32" s="73">
        <f t="shared" si="74"/>
        <v>0.5252266454487895</v>
      </c>
      <c r="DO32" s="73">
        <f t="shared" si="75"/>
        <v>0.41969539182064985</v>
      </c>
      <c r="DP32" s="73">
        <f t="shared" si="76"/>
        <v>1.7471081025869011</v>
      </c>
      <c r="DQ32" s="73">
        <f t="shared" ca="1" si="77"/>
        <v>15449.030332936991</v>
      </c>
      <c r="DR32" s="73">
        <f t="shared" si="394"/>
        <v>7.5378904741608528</v>
      </c>
      <c r="DS32" s="73">
        <f t="shared" ca="1" si="395"/>
        <v>1776.3664245082555</v>
      </c>
      <c r="DT32" s="73">
        <f t="shared" si="396"/>
        <v>1531.4728552444362</v>
      </c>
      <c r="DU32" s="73">
        <f t="shared" ca="1" si="397"/>
        <v>1705.2481680265141</v>
      </c>
      <c r="DV32" s="76">
        <f t="shared" ca="1" si="82"/>
        <v>1.7683878880096899</v>
      </c>
      <c r="DW32" s="73">
        <f t="shared" ca="1" si="83"/>
        <v>2.7030048338228188</v>
      </c>
      <c r="DX32" s="73">
        <f t="shared" ca="1" si="398"/>
        <v>4635.741070284239</v>
      </c>
      <c r="DY32" s="73">
        <f t="shared" ca="1" si="399"/>
        <v>1715.0324750725586</v>
      </c>
      <c r="DZ32" s="73">
        <f t="shared" ca="1" si="85"/>
        <v>2.7296717886273698</v>
      </c>
      <c r="EA32" s="73"/>
      <c r="EB32" s="73">
        <f t="shared" si="86"/>
        <v>0.77230359520639147</v>
      </c>
      <c r="EC32" s="73">
        <f t="shared" si="87"/>
        <v>6.2077596996245304E-3</v>
      </c>
      <c r="ED32" s="73">
        <f t="shared" si="88"/>
        <v>3.9721459395841506E-2</v>
      </c>
      <c r="EE32" s="73">
        <f t="shared" si="89"/>
        <v>0.16910229645093947</v>
      </c>
      <c r="EF32" s="73">
        <f t="shared" si="90"/>
        <v>2.8192839018889204E-3</v>
      </c>
      <c r="EG32" s="73">
        <f t="shared" si="91"/>
        <v>0.64764267990074453</v>
      </c>
      <c r="EH32" s="73">
        <f t="shared" si="92"/>
        <v>0.14693295292439373</v>
      </c>
      <c r="EI32" s="73">
        <f t="shared" si="93"/>
        <v>7.7444336882865443E-3</v>
      </c>
      <c r="EJ32" s="73">
        <f t="shared" si="94"/>
        <v>1.0615711252653928E-4</v>
      </c>
      <c r="EK32" s="73">
        <f t="shared" si="95"/>
        <v>0</v>
      </c>
      <c r="EL32" s="73">
        <f t="shared" si="96"/>
        <v>0</v>
      </c>
      <c r="EM32" s="73">
        <f t="shared" si="400"/>
        <v>1.792580618280637</v>
      </c>
      <c r="EN32" s="73">
        <f t="shared" si="401"/>
        <v>0.43083339590447567</v>
      </c>
      <c r="EO32" s="73">
        <f t="shared" si="401"/>
        <v>3.4630295766439421E-3</v>
      </c>
      <c r="EP32" s="73">
        <f t="shared" si="401"/>
        <v>2.2158813383768787E-2</v>
      </c>
      <c r="EQ32" s="73">
        <f t="shared" si="401"/>
        <v>9.433455585006538E-2</v>
      </c>
      <c r="ER32" s="73">
        <f t="shared" si="401"/>
        <v>1.5727515254477377E-3</v>
      </c>
      <c r="ES32" s="73">
        <f t="shared" si="401"/>
        <v>0.36129068522560193</v>
      </c>
      <c r="ET32" s="73">
        <f t="shared" si="401"/>
        <v>8.1967277469130087E-2</v>
      </c>
      <c r="EU32" s="73">
        <f t="shared" si="401"/>
        <v>4.3202707924593414E-3</v>
      </c>
      <c r="EV32" s="73">
        <f t="shared" si="401"/>
        <v>5.9220272407251858E-5</v>
      </c>
      <c r="EW32" s="73">
        <f t="shared" si="401"/>
        <v>0</v>
      </c>
      <c r="EX32" s="73">
        <f t="shared" si="401"/>
        <v>0</v>
      </c>
      <c r="EY32" s="73">
        <f t="shared" si="402"/>
        <v>1.0000000000000002</v>
      </c>
      <c r="EZ32" s="73">
        <f t="shared" si="100"/>
        <v>4.3171917283048714E-2</v>
      </c>
      <c r="FA32" s="73">
        <f t="shared" si="101"/>
        <v>0.46624081164289893</v>
      </c>
      <c r="FB32" s="73">
        <f t="shared" si="102"/>
        <v>1.4403885815472188</v>
      </c>
      <c r="FC32" s="73">
        <f t="shared" si="403"/>
        <v>1.0158139165228419</v>
      </c>
      <c r="FD32" s="73">
        <f t="shared" si="404"/>
        <v>2.178732301326014</v>
      </c>
      <c r="FE32" s="73">
        <f t="shared" ca="1" si="105"/>
        <v>0.15284961965155922</v>
      </c>
      <c r="FF32" s="73">
        <f t="shared" ca="1" si="405"/>
        <v>1.1043125819217766E-2</v>
      </c>
      <c r="FG32" s="73">
        <f t="shared" ca="1" si="406"/>
        <v>7.2248304211629852E-2</v>
      </c>
      <c r="FH32" s="73">
        <f t="shared" ca="1" si="407"/>
        <v>0.1999727841489066</v>
      </c>
      <c r="FI32" s="73">
        <f t="shared" ca="1" si="147"/>
        <v>7.1148302431418398E-2</v>
      </c>
      <c r="FJ32" s="73">
        <f t="shared" ca="1" si="408"/>
        <v>0.35578992778556773</v>
      </c>
      <c r="FK32" s="73">
        <f t="shared" ca="1" si="409"/>
        <v>7.114830243141837E-2</v>
      </c>
      <c r="FL32" s="73">
        <f t="shared" ca="1" si="109"/>
        <v>7.1148302431418328E-2</v>
      </c>
      <c r="FM32" s="73"/>
      <c r="FN32" s="73"/>
      <c r="FO32" s="73"/>
      <c r="FP32" s="73">
        <f t="shared" ca="1" si="410"/>
        <v>1.8671550853044017</v>
      </c>
      <c r="FQ32" s="73">
        <f t="shared" ca="1" si="411"/>
        <v>0.13284491469559834</v>
      </c>
      <c r="FR32" s="73">
        <f t="shared" si="412"/>
        <v>0.33333333333333331</v>
      </c>
      <c r="FS32" s="73">
        <f t="shared" ca="1" si="413"/>
        <v>4.4281638231866115E-2</v>
      </c>
      <c r="FT32" s="73">
        <f t="shared" ca="1" si="414"/>
        <v>0.62238502843480059</v>
      </c>
      <c r="FU32" s="73">
        <f t="shared" si="415"/>
        <v>20.026666666666664</v>
      </c>
      <c r="FV32" s="73">
        <f t="shared" ca="1" si="416"/>
        <v>3.1816357069595802</v>
      </c>
      <c r="FW32" s="73">
        <f t="shared" ca="1" si="417"/>
        <v>25.082116645922461</v>
      </c>
      <c r="FX32" s="73">
        <f t="shared" ca="1" si="418"/>
        <v>48.290419019548708</v>
      </c>
      <c r="FY32" s="73">
        <f t="shared" ca="1" si="419"/>
        <v>41.471304397999859</v>
      </c>
      <c r="FZ32" s="73">
        <f t="shared" ca="1" si="419"/>
        <v>6.5885444184520434</v>
      </c>
      <c r="GA32" s="73">
        <f t="shared" ca="1" si="419"/>
        <v>51.940151183548089</v>
      </c>
      <c r="GB32" s="73">
        <f t="shared" ca="1" si="420"/>
        <v>93.35775426522008</v>
      </c>
      <c r="GC32" s="73">
        <f t="shared" ca="1" si="119"/>
        <v>3734635510.6959252</v>
      </c>
      <c r="GD32" s="2">
        <f t="shared" si="152"/>
        <v>38</v>
      </c>
      <c r="GE32">
        <f t="shared" ca="1" si="153"/>
        <v>1545.2933260595478</v>
      </c>
      <c r="GF32">
        <f t="shared" ca="1" si="120"/>
        <v>1545.1450071333672</v>
      </c>
      <c r="GG32">
        <f t="shared" ca="1" si="121"/>
        <v>1861.7772876472739</v>
      </c>
      <c r="GH32" s="2">
        <f t="shared" ca="1" si="122"/>
        <v>0.68161299290073118</v>
      </c>
      <c r="GI32" s="2">
        <f t="shared" ca="1" si="123"/>
        <v>1.0671400757698306</v>
      </c>
      <c r="GJ32" s="2">
        <f t="shared" ca="1" si="124"/>
        <v>-1.3377884878819311</v>
      </c>
      <c r="GK32" s="2">
        <f t="shared" ca="1" si="125"/>
        <v>1.2759137766014041</v>
      </c>
      <c r="GL32" s="2">
        <f t="shared" ca="1" si="154"/>
        <v>-0.68161299290073118</v>
      </c>
      <c r="GM32">
        <f t="shared" ca="1" si="155"/>
        <v>0.34949814332160173</v>
      </c>
      <c r="GN32">
        <f t="shared" ca="1" si="156"/>
        <v>4.2690831997422886E-2</v>
      </c>
      <c r="GO32">
        <f t="shared" ca="1" si="157"/>
        <v>-0.1461554385512929</v>
      </c>
      <c r="GP32">
        <f t="shared" ca="1" si="158"/>
        <v>-0.26710778008695618</v>
      </c>
      <c r="GQ32">
        <f t="shared" ca="1" si="159"/>
        <v>0.27879106340354887</v>
      </c>
      <c r="GR32">
        <f t="shared" ca="1" si="160"/>
        <v>0.12214895218524686</v>
      </c>
      <c r="GS32">
        <f t="shared" ca="1" si="161"/>
        <v>0.16364317353308616</v>
      </c>
      <c r="GT32">
        <f t="shared" ca="1" si="162"/>
        <v>3.8434884801628274E-3</v>
      </c>
      <c r="GU32">
        <f t="shared" ca="1" si="163"/>
        <v>0.69701878379708559</v>
      </c>
      <c r="GV32">
        <f t="shared" ca="1" si="164"/>
        <v>-0.22473154936367304</v>
      </c>
      <c r="GW32">
        <f t="shared" ca="1" si="165"/>
        <v>0.82178537775501437</v>
      </c>
      <c r="GY32" s="15">
        <f t="shared" si="166"/>
        <v>0.20190683404383489</v>
      </c>
      <c r="GZ32" s="2">
        <f t="shared" si="167"/>
        <v>2.5621842960412727E-2</v>
      </c>
      <c r="HA32" s="2">
        <f t="shared" si="168"/>
        <v>5.5243264330960593E-2</v>
      </c>
      <c r="HB32" s="2">
        <f t="shared" si="169"/>
        <v>0.28277194133520822</v>
      </c>
      <c r="HC32" s="2">
        <f t="shared" si="170"/>
        <v>0.71402711701330768</v>
      </c>
      <c r="HD32" s="2">
        <f t="shared" si="171"/>
        <v>9.0609566279561155E-2</v>
      </c>
      <c r="HE32" s="2">
        <f t="shared" si="172"/>
        <v>0.19536331670713114</v>
      </c>
      <c r="HF32" s="2">
        <f t="shared" si="127"/>
        <v>-1.3445671405112198</v>
      </c>
      <c r="HG32" s="2">
        <f t="shared" si="128"/>
        <v>-1.3384193680497596</v>
      </c>
      <c r="HH32" s="2">
        <f t="shared" si="173"/>
        <v>-1.3414932542804898</v>
      </c>
      <c r="HI32" s="2">
        <f t="shared" si="129"/>
        <v>2.3350085706647787</v>
      </c>
      <c r="HJ32" s="2">
        <f t="shared" si="130"/>
        <v>0.19375903727283866</v>
      </c>
      <c r="HK32" s="2">
        <f t="shared" si="131"/>
        <v>0.35257220680847312</v>
      </c>
      <c r="HL32" s="2">
        <f t="shared" si="132"/>
        <v>0.66008230452674888</v>
      </c>
    </row>
    <row r="33" spans="1:220" ht="20.25">
      <c r="A33" s="88" t="s">
        <v>151</v>
      </c>
      <c r="B33" s="77">
        <v>3710</v>
      </c>
      <c r="C33" s="95">
        <f t="shared" ca="1" si="373"/>
        <v>-3.1155761102632629</v>
      </c>
      <c r="D33" s="70">
        <f t="shared" ca="1" si="0"/>
        <v>-2.9673168308263875</v>
      </c>
      <c r="E33" s="71">
        <f t="shared" ca="1" si="1"/>
        <v>-3.1155761102632655</v>
      </c>
      <c r="F33" s="84">
        <v>44.95</v>
      </c>
      <c r="G33" s="84">
        <v>0.75</v>
      </c>
      <c r="H33" s="84">
        <v>5.27</v>
      </c>
      <c r="I33" s="84">
        <v>12.825000000000001</v>
      </c>
      <c r="J33" s="84">
        <v>0.24</v>
      </c>
      <c r="K33" s="84">
        <v>22.61</v>
      </c>
      <c r="L33" s="84">
        <v>8.19</v>
      </c>
      <c r="M33" s="84">
        <v>0.06</v>
      </c>
      <c r="N33" s="84">
        <v>0.02</v>
      </c>
      <c r="O33" s="84"/>
      <c r="P33" s="84"/>
      <c r="Q33" s="84"/>
      <c r="R33" s="72">
        <f t="shared" si="374"/>
        <v>94.914999999999992</v>
      </c>
      <c r="S33" s="106">
        <f t="shared" ca="1" si="2"/>
        <v>2.9528185154311544</v>
      </c>
      <c r="T33" s="104">
        <f t="shared" ca="1" si="135"/>
        <v>0.34599522492344925</v>
      </c>
      <c r="U33" s="107">
        <f t="shared" ca="1" si="375"/>
        <v>1663.0975755869399</v>
      </c>
      <c r="V33" s="107">
        <f t="shared" ca="1" si="375"/>
        <v>1630.3825886187894</v>
      </c>
      <c r="W33" s="105">
        <f t="shared" ca="1" si="4"/>
        <v>1628.2904005267574</v>
      </c>
      <c r="X33" s="102">
        <f t="shared" ca="1" si="5"/>
        <v>1843.0830223005066</v>
      </c>
      <c r="Y33" s="102">
        <f t="shared" ca="1" si="6"/>
        <v>1675.8008337635551</v>
      </c>
      <c r="Z33" s="103">
        <f t="shared" ca="1" si="7"/>
        <v>1772.1303967760925</v>
      </c>
      <c r="AA33" s="103">
        <f t="shared" ca="1" si="8"/>
        <v>1743.7906428366061</v>
      </c>
      <c r="AB33" s="103">
        <f t="shared" ca="1" si="136"/>
        <v>88.615123145742018</v>
      </c>
      <c r="AC33" s="4">
        <v>13.3</v>
      </c>
      <c r="AD33" s="273">
        <f t="shared" ca="1" si="9"/>
        <v>12.702507661702613</v>
      </c>
      <c r="AE33" s="3">
        <f t="shared" ca="1" si="10"/>
        <v>120.48318217721659</v>
      </c>
      <c r="AF33" s="3">
        <f t="shared" ca="1" si="11"/>
        <v>214.32089780851578</v>
      </c>
      <c r="AG33" s="2">
        <f t="shared" ca="1" si="12"/>
        <v>562.16254881902296</v>
      </c>
      <c r="AH33" s="2">
        <f t="shared" ca="1" si="13"/>
        <v>150.91625403369707</v>
      </c>
      <c r="AI33" s="87">
        <f t="shared" si="14"/>
        <v>0.47445489343992692</v>
      </c>
      <c r="AJ33" s="87">
        <f t="shared" ca="1" si="15"/>
        <v>2.9528185154311659</v>
      </c>
      <c r="AK33" s="87">
        <f t="shared" ca="1" si="16"/>
        <v>0.29323651957902186</v>
      </c>
      <c r="AL33" s="86">
        <f t="shared" ca="1" si="17"/>
        <v>0.27622602553129361</v>
      </c>
      <c r="AM33" s="87">
        <f t="shared" ca="1" si="18"/>
        <v>0.34599522492344925</v>
      </c>
      <c r="AN33" s="87">
        <f t="shared" ca="1" si="19"/>
        <v>0.34599522492344914</v>
      </c>
      <c r="AO33" s="96">
        <f t="shared" ca="1" si="376"/>
        <v>41.213526236602924</v>
      </c>
      <c r="AP33" s="96">
        <f t="shared" ca="1" si="377"/>
        <v>7.9631432369852568</v>
      </c>
      <c r="AQ33" s="96">
        <f t="shared" ca="1" si="378"/>
        <v>50.82333052641183</v>
      </c>
      <c r="AR33" s="73"/>
      <c r="AS33" s="53">
        <f t="shared" ca="1" si="138"/>
        <v>79.744970638077689</v>
      </c>
      <c r="AT33" s="68">
        <f t="shared" ca="1" si="139"/>
        <v>91.921738470841078</v>
      </c>
      <c r="AU33" s="74">
        <f t="shared" ca="1" si="23"/>
        <v>0.34599522492344914</v>
      </c>
      <c r="AV33" s="68">
        <f t="shared" si="379"/>
        <v>1.8891083168540617</v>
      </c>
      <c r="AW33" s="68">
        <f t="shared" ca="1" si="25"/>
        <v>1.9139408737728711</v>
      </c>
      <c r="AX33" s="69">
        <f t="shared" ca="1" si="380"/>
        <v>1674.9867887909177</v>
      </c>
      <c r="AY33" s="69">
        <f t="shared" ca="1" si="381"/>
        <v>1663.097575586939</v>
      </c>
      <c r="AZ33" s="69">
        <f t="shared" ca="1" si="28"/>
        <v>1630.3825886187881</v>
      </c>
      <c r="BA33" s="75"/>
      <c r="BB33" s="74">
        <f t="shared" ca="1" si="382"/>
        <v>0.26845661339542937</v>
      </c>
      <c r="BC33" s="74">
        <f t="shared" ca="1" si="383"/>
        <v>7.8660106015780829E-2</v>
      </c>
      <c r="BD33" s="68">
        <f t="shared" si="29"/>
        <v>0.12559799999999999</v>
      </c>
      <c r="BE33" s="68">
        <f t="shared" ca="1" si="30"/>
        <v>0.37368073548413744</v>
      </c>
      <c r="BF33" s="68">
        <f t="shared" ca="1" si="31"/>
        <v>0.31210917135867516</v>
      </c>
      <c r="BH33" s="68">
        <f t="shared" ca="1" si="32"/>
        <v>0.17870184005001533</v>
      </c>
      <c r="BI33" s="68">
        <f t="shared" ca="1" si="33"/>
        <v>0.26243854673891087</v>
      </c>
      <c r="BK33" s="53">
        <f t="shared" ca="1" si="142"/>
        <v>0.70283183742781574</v>
      </c>
      <c r="BL33" s="53">
        <f t="shared" si="34"/>
        <v>0.13696378130559447</v>
      </c>
      <c r="BM33" s="53">
        <f t="shared" si="143"/>
        <v>0.21314898102436836</v>
      </c>
      <c r="BN33" s="53">
        <f t="shared" si="35"/>
        <v>0.67884177524487221</v>
      </c>
      <c r="BO33" s="53">
        <f t="shared" si="36"/>
        <v>0.66905218239733311</v>
      </c>
      <c r="BP33" s="53">
        <f t="shared" si="37"/>
        <v>0.59834823843214346</v>
      </c>
      <c r="BQ33" s="54">
        <f t="shared" si="38"/>
        <v>1489.8900639999999</v>
      </c>
      <c r="BR33" s="262">
        <f t="shared" si="39"/>
        <v>6.6854666331316981</v>
      </c>
      <c r="BS33" s="54">
        <f t="shared" si="144"/>
        <v>1763.8567032972155</v>
      </c>
      <c r="BT33" s="67"/>
      <c r="BU33" s="73">
        <f t="shared" si="40"/>
        <v>0.74816910785619184</v>
      </c>
      <c r="BV33" s="73">
        <f t="shared" si="41"/>
        <v>9.3867334167709628E-3</v>
      </c>
      <c r="BW33" s="73">
        <f t="shared" si="42"/>
        <v>0.10337387210670851</v>
      </c>
      <c r="BX33" s="73">
        <f t="shared" si="43"/>
        <v>0.17849686847599167</v>
      </c>
      <c r="BY33" s="73">
        <f t="shared" si="44"/>
        <v>3.3831406822667043E-3</v>
      </c>
      <c r="BZ33" s="73">
        <f t="shared" si="45"/>
        <v>0.56104218362282876</v>
      </c>
      <c r="CA33" s="73">
        <f t="shared" si="46"/>
        <v>0.1460413694721826</v>
      </c>
      <c r="CB33" s="73">
        <f t="shared" si="47"/>
        <v>1.9361084220716361E-3</v>
      </c>
      <c r="CC33" s="73">
        <f t="shared" si="48"/>
        <v>4.2462845010615713E-4</v>
      </c>
      <c r="CD33" s="73">
        <f t="shared" si="49"/>
        <v>0</v>
      </c>
      <c r="CE33" s="73">
        <f t="shared" si="50"/>
        <v>0</v>
      </c>
      <c r="CF33" s="73">
        <f t="shared" si="384"/>
        <v>1.7522540125051189</v>
      </c>
      <c r="CG33" s="73">
        <f t="shared" si="385"/>
        <v>0.42697525730676916</v>
      </c>
      <c r="CH33" s="73">
        <f t="shared" si="385"/>
        <v>5.3569478795777855E-3</v>
      </c>
      <c r="CI33" s="73">
        <f t="shared" si="385"/>
        <v>5.8994798339151479E-2</v>
      </c>
      <c r="CJ33" s="73">
        <f t="shared" si="385"/>
        <v>0.10186700512718627</v>
      </c>
      <c r="CK33" s="73">
        <f t="shared" si="385"/>
        <v>1.9307364446721853E-3</v>
      </c>
      <c r="CL33" s="73">
        <f t="shared" si="385"/>
        <v>0.3201831353324921</v>
      </c>
      <c r="CM33" s="73">
        <f t="shared" si="385"/>
        <v>8.3344862348692136E-2</v>
      </c>
      <c r="CN33" s="73">
        <f t="shared" si="385"/>
        <v>1.1049245190790967E-3</v>
      </c>
      <c r="CO33" s="73">
        <f t="shared" si="385"/>
        <v>2.4233270237976792E-4</v>
      </c>
      <c r="CP33" s="73">
        <f t="shared" si="386"/>
        <v>0</v>
      </c>
      <c r="CQ33" s="73">
        <f t="shared" si="387"/>
        <v>0</v>
      </c>
      <c r="CR33" s="73"/>
      <c r="CS33" s="73">
        <f t="shared" ca="1" si="55"/>
        <v>0.68597746732028841</v>
      </c>
      <c r="CT33" s="73">
        <f t="shared" ca="1" si="56"/>
        <v>0.11083010768246705</v>
      </c>
      <c r="CU33" s="73">
        <f t="shared" ca="1" si="57"/>
        <v>1.2611248269581101</v>
      </c>
      <c r="CV33" s="73">
        <f t="shared" ca="1" si="58"/>
        <v>2.0579324019608656</v>
      </c>
      <c r="CW33" s="73">
        <f t="shared" ca="1" si="59"/>
        <v>0.33333333333333326</v>
      </c>
      <c r="CX33" s="73">
        <f t="shared" ca="1" si="60"/>
        <v>5.3855076861059427E-2</v>
      </c>
      <c r="CY33" s="73">
        <f t="shared" ca="1" si="61"/>
        <v>0.61281158980560735</v>
      </c>
      <c r="CZ33" s="73">
        <f t="shared" si="62"/>
        <v>0.5073257392530427</v>
      </c>
      <c r="DA33" s="73">
        <f t="shared" si="63"/>
        <v>0.42697525730676916</v>
      </c>
      <c r="DB33" s="73">
        <f t="shared" si="64"/>
        <v>-0.25042257505774046</v>
      </c>
      <c r="DC33" s="73"/>
      <c r="DD33" s="73">
        <f t="shared" ca="1" si="388"/>
        <v>1674.9867887909177</v>
      </c>
      <c r="DE33" s="73">
        <f t="shared" ca="1" si="389"/>
        <v>15062.50277812254</v>
      </c>
      <c r="DF33" s="73">
        <f t="shared" si="67"/>
        <v>7.7317480295985099</v>
      </c>
      <c r="DG33" s="73">
        <f t="shared" si="390"/>
        <v>1759.3571013835106</v>
      </c>
      <c r="DH33" s="73">
        <f t="shared" si="391"/>
        <v>1486.2071013835107</v>
      </c>
      <c r="DI33" s="73">
        <f t="shared" si="392"/>
        <v>13602.905801982104</v>
      </c>
      <c r="DJ33" s="73">
        <f t="shared" si="70"/>
        <v>7.7317480295985099</v>
      </c>
      <c r="DK33" s="73">
        <f t="shared" si="393"/>
        <v>1759.3571013835106</v>
      </c>
      <c r="DL33" s="73">
        <f t="shared" ca="1" si="72"/>
        <v>2.9528185154311544</v>
      </c>
      <c r="DM33" s="73">
        <f t="shared" si="73"/>
        <v>-0.25042257505774046</v>
      </c>
      <c r="DN33" s="73">
        <f t="shared" si="74"/>
        <v>0.5073257392530427</v>
      </c>
      <c r="DO33" s="73">
        <f t="shared" si="75"/>
        <v>0.42697525730676916</v>
      </c>
      <c r="DP33" s="73">
        <f t="shared" si="76"/>
        <v>1.8891083168540617</v>
      </c>
      <c r="DQ33" s="73">
        <f t="shared" ca="1" si="77"/>
        <v>15062.578192177614</v>
      </c>
      <c r="DR33" s="73">
        <f t="shared" si="394"/>
        <v>7.7315248024263745</v>
      </c>
      <c r="DS33" s="73">
        <f t="shared" ca="1" si="395"/>
        <v>1675.0527901469763</v>
      </c>
      <c r="DT33" s="73">
        <f t="shared" si="396"/>
        <v>1486.2764750636211</v>
      </c>
      <c r="DU33" s="73">
        <f t="shared" ca="1" si="397"/>
        <v>1628.2904005267574</v>
      </c>
      <c r="DV33" s="76">
        <f t="shared" ca="1" si="82"/>
        <v>1.9139408737728711</v>
      </c>
      <c r="DW33" s="73">
        <f t="shared" ca="1" si="83"/>
        <v>2.8030724011078809</v>
      </c>
      <c r="DX33" s="73">
        <f t="shared" ca="1" si="398"/>
        <v>4592.6707720151026</v>
      </c>
      <c r="DY33" s="73">
        <f t="shared" ca="1" si="399"/>
        <v>1638.4417220903406</v>
      </c>
      <c r="DZ33" s="73">
        <f t="shared" ca="1" si="85"/>
        <v>2.9290525458151131</v>
      </c>
      <c r="EA33" s="73"/>
      <c r="EB33" s="73">
        <f t="shared" si="86"/>
        <v>0.74816910785619184</v>
      </c>
      <c r="EC33" s="73">
        <f t="shared" si="87"/>
        <v>9.3867334167709628E-3</v>
      </c>
      <c r="ED33" s="73">
        <f t="shared" si="88"/>
        <v>5.1686936053354254E-2</v>
      </c>
      <c r="EE33" s="73">
        <f t="shared" si="89"/>
        <v>0.17849686847599167</v>
      </c>
      <c r="EF33" s="73">
        <f t="shared" si="90"/>
        <v>3.3831406822667043E-3</v>
      </c>
      <c r="EG33" s="73">
        <f t="shared" si="91"/>
        <v>0.56104218362282876</v>
      </c>
      <c r="EH33" s="73">
        <f t="shared" si="92"/>
        <v>0.1460413694721826</v>
      </c>
      <c r="EI33" s="73">
        <f t="shared" si="93"/>
        <v>9.6805421103581804E-4</v>
      </c>
      <c r="EJ33" s="73">
        <f t="shared" si="94"/>
        <v>2.1231422505307856E-4</v>
      </c>
      <c r="EK33" s="73">
        <f t="shared" si="95"/>
        <v>0</v>
      </c>
      <c r="EL33" s="73">
        <f t="shared" si="96"/>
        <v>0</v>
      </c>
      <c r="EM33" s="73">
        <f t="shared" si="400"/>
        <v>1.6993867080156759</v>
      </c>
      <c r="EN33" s="73">
        <f t="shared" si="401"/>
        <v>0.44025830279077971</v>
      </c>
      <c r="EO33" s="73">
        <f t="shared" si="401"/>
        <v>5.5236005863147988E-3</v>
      </c>
      <c r="EP33" s="73">
        <f t="shared" si="401"/>
        <v>3.0415052565467914E-2</v>
      </c>
      <c r="EQ33" s="73">
        <f t="shared" si="401"/>
        <v>0.10503605073174735</v>
      </c>
      <c r="ER33" s="73">
        <f t="shared" si="401"/>
        <v>1.9908009556089202E-3</v>
      </c>
      <c r="ES33" s="73">
        <f t="shared" si="401"/>
        <v>0.3301439166120943</v>
      </c>
      <c r="ET33" s="73">
        <f t="shared" si="401"/>
        <v>8.5937690805355793E-2</v>
      </c>
      <c r="EU33" s="73">
        <f t="shared" si="401"/>
        <v>5.6964916017625353E-4</v>
      </c>
      <c r="EV33" s="73">
        <f t="shared" si="401"/>
        <v>1.2493579245479193E-4</v>
      </c>
      <c r="EW33" s="73">
        <f t="shared" si="401"/>
        <v>0</v>
      </c>
      <c r="EX33" s="73">
        <f t="shared" si="401"/>
        <v>0</v>
      </c>
      <c r="EY33" s="73">
        <f t="shared" si="402"/>
        <v>0.99999999999999978</v>
      </c>
      <c r="EZ33" s="73">
        <f t="shared" si="100"/>
        <v>5.8994798339151479E-2</v>
      </c>
      <c r="FA33" s="73">
        <f t="shared" si="101"/>
        <v>0.49132700352549846</v>
      </c>
      <c r="FB33" s="73">
        <f t="shared" si="102"/>
        <v>1.4611559757451928</v>
      </c>
      <c r="FC33" s="73">
        <f t="shared" si="403"/>
        <v>0.95700393738839185</v>
      </c>
      <c r="FD33" s="73">
        <f t="shared" si="404"/>
        <v>1.9477943009878269</v>
      </c>
      <c r="FE33" s="73">
        <f t="shared" ca="1" si="105"/>
        <v>0.12629005405620455</v>
      </c>
      <c r="FF33" s="73">
        <f t="shared" ca="1" si="405"/>
        <v>1.0590147838729838E-2</v>
      </c>
      <c r="FG33" s="73">
        <f t="shared" ca="1" si="406"/>
        <v>8.3855755054287676E-2</v>
      </c>
      <c r="FH33" s="73">
        <f t="shared" ca="1" si="407"/>
        <v>0.25399757752560614</v>
      </c>
      <c r="FI33" s="73">
        <f t="shared" ca="1" si="147"/>
        <v>8.7881948965983211E-2</v>
      </c>
      <c r="FJ33" s="73">
        <f t="shared" ca="1" si="408"/>
        <v>0.34599522492344875</v>
      </c>
      <c r="FK33" s="73">
        <f t="shared" ca="1" si="409"/>
        <v>8.7881948965983239E-2</v>
      </c>
      <c r="FL33" s="73">
        <f t="shared" ca="1" si="109"/>
        <v>8.7881948965983336E-2</v>
      </c>
      <c r="FM33" s="73"/>
      <c r="FN33" s="73"/>
      <c r="FO33" s="73"/>
      <c r="FP33" s="73">
        <f t="shared" ca="1" si="410"/>
        <v>1.8384347694168213</v>
      </c>
      <c r="FQ33" s="73">
        <f t="shared" ca="1" si="411"/>
        <v>0.16156523058317873</v>
      </c>
      <c r="FR33" s="73">
        <f t="shared" si="412"/>
        <v>0.33333333333333331</v>
      </c>
      <c r="FS33" s="73">
        <f t="shared" ca="1" si="413"/>
        <v>5.385507686105958E-2</v>
      </c>
      <c r="FT33" s="73">
        <f t="shared" ca="1" si="414"/>
        <v>0.61281158980560713</v>
      </c>
      <c r="FU33" s="73">
        <f t="shared" si="415"/>
        <v>20.026666666666664</v>
      </c>
      <c r="FV33" s="73">
        <f t="shared" ca="1" si="416"/>
        <v>3.8694872724671305</v>
      </c>
      <c r="FW33" s="73">
        <f t="shared" ca="1" si="417"/>
        <v>24.696307069165965</v>
      </c>
      <c r="FX33" s="73">
        <f t="shared" ca="1" si="418"/>
        <v>48.592461008299757</v>
      </c>
      <c r="FY33" s="73">
        <f t="shared" ca="1" si="419"/>
        <v>41.213526236602917</v>
      </c>
      <c r="FZ33" s="73">
        <f t="shared" ca="1" si="419"/>
        <v>7.963143236985279</v>
      </c>
      <c r="GA33" s="73">
        <f t="shared" ca="1" si="419"/>
        <v>50.823330526411802</v>
      </c>
      <c r="GB33" s="73">
        <f t="shared" ca="1" si="420"/>
        <v>91.921738470841063</v>
      </c>
      <c r="GC33" s="73">
        <f t="shared" ca="1" si="119"/>
        <v>2952818515.4311543</v>
      </c>
      <c r="GD33" s="2">
        <f t="shared" si="152"/>
        <v>38</v>
      </c>
      <c r="GE33">
        <f t="shared" ca="1" si="153"/>
        <v>1468.2668502983856</v>
      </c>
      <c r="GF33">
        <f t="shared" ca="1" si="120"/>
        <v>1467.9271045081875</v>
      </c>
      <c r="GG33">
        <f t="shared" ca="1" si="121"/>
        <v>1822.2936046552902</v>
      </c>
      <c r="GH33" s="2">
        <f t="shared" ca="1" si="122"/>
        <v>0.55075880761227225</v>
      </c>
      <c r="GI33" s="2">
        <f t="shared" ca="1" si="123"/>
        <v>1.3032488083397913</v>
      </c>
      <c r="GJ33" s="2">
        <f t="shared" ca="1" si="124"/>
        <v>-1.78498780917338</v>
      </c>
      <c r="GK33" s="2">
        <f t="shared" ca="1" si="125"/>
        <v>1.4877861823181568</v>
      </c>
      <c r="GL33" s="2">
        <f t="shared" ca="1" si="154"/>
        <v>-0.55075880761227225</v>
      </c>
      <c r="GM33">
        <f t="shared" ca="1" si="155"/>
        <v>0.39992032690077051</v>
      </c>
      <c r="GN33">
        <f t="shared" ca="1" si="156"/>
        <v>6.3961764529227388E-2</v>
      </c>
      <c r="GO33">
        <f t="shared" ca="1" si="157"/>
        <v>-0.17515812946057913</v>
      </c>
      <c r="GP33">
        <f t="shared" ca="1" si="158"/>
        <v>-0.18509340056987261</v>
      </c>
      <c r="GQ33">
        <f t="shared" ca="1" si="159"/>
        <v>0.29198837481453299</v>
      </c>
      <c r="GR33">
        <f t="shared" ca="1" si="160"/>
        <v>0.15993626786841916</v>
      </c>
      <c r="GS33">
        <f t="shared" ca="1" si="161"/>
        <v>7.3897035638520875E-2</v>
      </c>
      <c r="GT33">
        <f t="shared" ca="1" si="162"/>
        <v>2.3026928096217376E-3</v>
      </c>
      <c r="GU33">
        <f t="shared" ca="1" si="163"/>
        <v>0.54514465877562235</v>
      </c>
      <c r="GV33">
        <f t="shared" ca="1" si="164"/>
        <v>-0.24223314824857442</v>
      </c>
      <c r="GW33">
        <f t="shared" ca="1" si="165"/>
        <v>0.70283183742781841</v>
      </c>
      <c r="GY33" s="15">
        <f t="shared" si="166"/>
        <v>0.19919944870652978</v>
      </c>
      <c r="GZ33" s="2">
        <f t="shared" si="167"/>
        <v>3.5938653151782712E-2</v>
      </c>
      <c r="HA33" s="2">
        <f t="shared" si="168"/>
        <v>7.5849908669758007E-2</v>
      </c>
      <c r="HB33" s="2">
        <f t="shared" si="169"/>
        <v>0.31098801052807051</v>
      </c>
      <c r="HC33" s="2">
        <f t="shared" si="170"/>
        <v>0.64053739039097002</v>
      </c>
      <c r="HD33" s="2">
        <f t="shared" si="171"/>
        <v>0.11556282536666733</v>
      </c>
      <c r="HE33" s="2">
        <f t="shared" si="172"/>
        <v>0.24389978424236267</v>
      </c>
      <c r="HF33" s="2">
        <f t="shared" si="127"/>
        <v>-1.277123655732447</v>
      </c>
      <c r="HG33" s="2">
        <f t="shared" si="128"/>
        <v>-1.2795731435378459</v>
      </c>
      <c r="HH33" s="2">
        <f t="shared" si="173"/>
        <v>-1.2783483996351466</v>
      </c>
      <c r="HI33" s="2">
        <f t="shared" si="129"/>
        <v>2.6675351320853156</v>
      </c>
      <c r="HJ33" s="2">
        <f t="shared" si="130"/>
        <v>0.15292483648863278</v>
      </c>
      <c r="HK33" s="2">
        <f t="shared" si="131"/>
        <v>0.34840962827366562</v>
      </c>
      <c r="HL33" s="2">
        <f t="shared" si="132"/>
        <v>0.62534113060428842</v>
      </c>
    </row>
    <row r="34" spans="1:220" ht="20.25">
      <c r="A34" s="88" t="s">
        <v>151</v>
      </c>
      <c r="B34" s="77">
        <v>3710</v>
      </c>
      <c r="C34" s="95">
        <f t="shared" ca="1" si="373"/>
        <v>-2.3401468628358977</v>
      </c>
      <c r="D34" s="70">
        <f t="shared" ca="1" si="0"/>
        <v>-1.9696598363528215</v>
      </c>
      <c r="E34" s="71">
        <f t="shared" ca="1" si="1"/>
        <v>-2.3401468628359043</v>
      </c>
      <c r="F34" s="84">
        <v>42.07</v>
      </c>
      <c r="G34" s="84">
        <v>0.79</v>
      </c>
      <c r="H34" s="84">
        <v>5.58</v>
      </c>
      <c r="I34" s="84">
        <v>14.265000000000001</v>
      </c>
      <c r="J34" s="84">
        <v>0.25</v>
      </c>
      <c r="K34" s="84">
        <v>23.45</v>
      </c>
      <c r="L34" s="84">
        <v>6.8</v>
      </c>
      <c r="M34" s="84">
        <v>7.0000000000000007E-2</v>
      </c>
      <c r="N34" s="84">
        <v>0.03</v>
      </c>
      <c r="O34" s="84"/>
      <c r="P34" s="84"/>
      <c r="Q34" s="84"/>
      <c r="R34" s="72">
        <f t="shared" si="374"/>
        <v>93.304999999999993</v>
      </c>
      <c r="S34" s="106">
        <f t="shared" ca="1" si="2"/>
        <v>3.9192788506086051</v>
      </c>
      <c r="T34" s="104">
        <f t="shared" ca="1" si="135"/>
        <v>0.34652560080486894</v>
      </c>
      <c r="U34" s="107">
        <f t="shared" ca="1" si="375"/>
        <v>1759.9965945630929</v>
      </c>
      <c r="V34" s="107">
        <f t="shared" ca="1" si="375"/>
        <v>1698.7293162623696</v>
      </c>
      <c r="W34" s="105">
        <f t="shared" ca="1" si="4"/>
        <v>1698.6251442262144</v>
      </c>
      <c r="X34" s="102">
        <f t="shared" ca="1" si="5"/>
        <v>1875.4445521395401</v>
      </c>
      <c r="Y34" s="102">
        <f t="shared" ca="1" si="6"/>
        <v>1646.6029075492752</v>
      </c>
      <c r="Z34" s="103">
        <f t="shared" ca="1" si="7"/>
        <v>1782.7152899730422</v>
      </c>
      <c r="AA34" s="103">
        <f t="shared" ca="1" si="8"/>
        <v>1763.4878502719857</v>
      </c>
      <c r="AB34" s="103">
        <f t="shared" ca="1" si="136"/>
        <v>116.69901573031125</v>
      </c>
      <c r="AC34" s="4">
        <v>13.3</v>
      </c>
      <c r="AD34" s="273">
        <f t="shared" ca="1" si="9"/>
        <v>13.206158501553761</v>
      </c>
      <c r="AE34" s="3">
        <f t="shared" ca="1" si="10"/>
        <v>123.9816799723923</v>
      </c>
      <c r="AF34" s="3">
        <f t="shared" ca="1" si="11"/>
        <v>214.78904800068648</v>
      </c>
      <c r="AG34" s="2">
        <f t="shared" ca="1" si="12"/>
        <v>577.22533400304496</v>
      </c>
      <c r="AH34" s="2">
        <f t="shared" ca="1" si="13"/>
        <v>116.51715172254063</v>
      </c>
      <c r="AI34" s="87">
        <f t="shared" si="14"/>
        <v>0.51672899736161881</v>
      </c>
      <c r="AJ34" s="87">
        <f t="shared" ca="1" si="15"/>
        <v>3.9192788506086109</v>
      </c>
      <c r="AK34" s="87">
        <f t="shared" ca="1" si="16"/>
        <v>0.29950616540695074</v>
      </c>
      <c r="AL34" s="86">
        <f t="shared" ca="1" si="17"/>
        <v>0.27313781625756223</v>
      </c>
      <c r="AM34" s="87">
        <f t="shared" ca="1" si="18"/>
        <v>0.34652560080486888</v>
      </c>
      <c r="AN34" s="87">
        <f t="shared" ca="1" si="19"/>
        <v>0.34652560080486888</v>
      </c>
      <c r="AO34" s="96">
        <f t="shared" ca="1" si="376"/>
        <v>41.133994177493406</v>
      </c>
      <c r="AP34" s="96">
        <f t="shared" ca="1" si="377"/>
        <v>8.3872469465276307</v>
      </c>
      <c r="AQ34" s="96">
        <f t="shared" ca="1" si="378"/>
        <v>50.478758875978968</v>
      </c>
      <c r="AR34" s="73"/>
      <c r="AS34" s="53">
        <f t="shared" ca="1" si="138"/>
        <v>78.805997512889959</v>
      </c>
      <c r="AT34" s="68">
        <f t="shared" ca="1" si="139"/>
        <v>91.47505268310212</v>
      </c>
      <c r="AU34" s="74">
        <f t="shared" ca="1" si="23"/>
        <v>0.34652560080486888</v>
      </c>
      <c r="AV34" s="68">
        <f t="shared" si="379"/>
        <v>1.7837308082540633</v>
      </c>
      <c r="AW34" s="68">
        <f t="shared" ca="1" si="25"/>
        <v>1.8106545130855838</v>
      </c>
      <c r="AX34" s="69">
        <f t="shared" ca="1" si="380"/>
        <v>1772.6794553873078</v>
      </c>
      <c r="AY34" s="69">
        <f t="shared" ca="1" si="381"/>
        <v>1759.9965945630929</v>
      </c>
      <c r="AZ34" s="69">
        <f t="shared" ca="1" si="28"/>
        <v>1698.7293162623696</v>
      </c>
      <c r="BA34" s="75"/>
      <c r="BB34" s="74">
        <f t="shared" ca="1" si="382"/>
        <v>0.20185730746517322</v>
      </c>
      <c r="BC34" s="74">
        <f t="shared" ca="1" si="383"/>
        <v>0.10703081478806654</v>
      </c>
      <c r="BD34" s="68">
        <f t="shared" si="29"/>
        <v>0</v>
      </c>
      <c r="BE34" s="68">
        <f t="shared" ca="1" si="30"/>
        <v>0.3393766047608876</v>
      </c>
      <c r="BF34" s="68">
        <f t="shared" ca="1" si="31"/>
        <v>0.28004045020405177</v>
      </c>
      <c r="BH34" s="68">
        <f t="shared" ca="1" si="32"/>
        <v>8.0677182620140397E-2</v>
      </c>
      <c r="BI34" s="68">
        <f t="shared" ca="1" si="33"/>
        <v>0.18801217489575847</v>
      </c>
      <c r="BK34" s="53">
        <f t="shared" ca="1" si="142"/>
        <v>0.79498193811170359</v>
      </c>
      <c r="BL34" s="53">
        <f t="shared" si="34"/>
        <v>-2.8001408031518998E-2</v>
      </c>
      <c r="BM34" s="53" t="e">
        <f t="shared" si="143"/>
        <v>#NUM!</v>
      </c>
      <c r="BN34" s="53">
        <f t="shared" si="35"/>
        <v>0.629592969586389</v>
      </c>
      <c r="BO34" s="53">
        <f t="shared" si="36"/>
        <v>0.49856982390528581</v>
      </c>
      <c r="BP34" s="53">
        <f t="shared" si="37"/>
        <v>0.43034592589349885</v>
      </c>
      <c r="BQ34" s="54">
        <f t="shared" si="38"/>
        <v>1504.1955999999998</v>
      </c>
      <c r="BR34" s="262">
        <f t="shared" si="39"/>
        <v>7.4407179485921464</v>
      </c>
      <c r="BS34" s="54">
        <f t="shared" si="144"/>
        <v>1799.5345345418705</v>
      </c>
      <c r="BT34" s="67"/>
      <c r="BU34" s="73">
        <f t="shared" si="40"/>
        <v>0.70023302263648468</v>
      </c>
      <c r="BV34" s="73">
        <f t="shared" si="41"/>
        <v>9.8873591989987481E-3</v>
      </c>
      <c r="BW34" s="73">
        <f t="shared" si="42"/>
        <v>0.10945468811298549</v>
      </c>
      <c r="BX34" s="73">
        <f t="shared" si="43"/>
        <v>0.19853862212943635</v>
      </c>
      <c r="BY34" s="73">
        <f t="shared" si="44"/>
        <v>3.5241048773611504E-3</v>
      </c>
      <c r="BZ34" s="73">
        <f t="shared" si="45"/>
        <v>0.58188585607940446</v>
      </c>
      <c r="CA34" s="73">
        <f t="shared" si="46"/>
        <v>0.12125534950071326</v>
      </c>
      <c r="CB34" s="73">
        <f t="shared" si="47"/>
        <v>2.2587931590835756E-3</v>
      </c>
      <c r="CC34" s="73">
        <f t="shared" si="48"/>
        <v>6.3694267515923564E-4</v>
      </c>
      <c r="CD34" s="73">
        <f t="shared" si="49"/>
        <v>0</v>
      </c>
      <c r="CE34" s="73">
        <f t="shared" si="50"/>
        <v>0</v>
      </c>
      <c r="CF34" s="73">
        <f t="shared" si="384"/>
        <v>1.7276747383696271</v>
      </c>
      <c r="CG34" s="73">
        <f t="shared" si="385"/>
        <v>0.40530373402188014</v>
      </c>
      <c r="CH34" s="73">
        <f t="shared" si="385"/>
        <v>5.7229286157933039E-3</v>
      </c>
      <c r="CI34" s="73">
        <f t="shared" si="385"/>
        <v>6.3353758483657485E-2</v>
      </c>
      <c r="CJ34" s="73">
        <f t="shared" si="385"/>
        <v>0.11491666673137407</v>
      </c>
      <c r="CK34" s="73">
        <f t="shared" si="385"/>
        <v>2.0397964958883286E-3</v>
      </c>
      <c r="CL34" s="73">
        <f t="shared" si="385"/>
        <v>0.3368028964922638</v>
      </c>
      <c r="CM34" s="73">
        <f t="shared" si="385"/>
        <v>7.0184130616587917E-2</v>
      </c>
      <c r="CN34" s="73">
        <f t="shared" si="385"/>
        <v>1.3074180625081979E-3</v>
      </c>
      <c r="CO34" s="73">
        <f t="shared" si="385"/>
        <v>3.6867048004667009E-4</v>
      </c>
      <c r="CP34" s="73">
        <f t="shared" si="386"/>
        <v>0</v>
      </c>
      <c r="CQ34" s="73">
        <f t="shared" si="387"/>
        <v>0</v>
      </c>
      <c r="CR34" s="73"/>
      <c r="CS34" s="73">
        <f t="shared" ca="1" si="55"/>
        <v>0.68465369802752007</v>
      </c>
      <c r="CT34" s="73">
        <f t="shared" ca="1" si="56"/>
        <v>0.11673273412007838</v>
      </c>
      <c r="CU34" s="73">
        <f t="shared" ca="1" si="57"/>
        <v>1.252574661934962</v>
      </c>
      <c r="CV34" s="73">
        <f t="shared" ca="1" si="58"/>
        <v>2.0539610940825606</v>
      </c>
      <c r="CW34" s="73">
        <f t="shared" ca="1" si="59"/>
        <v>0.33333333333333326</v>
      </c>
      <c r="CX34" s="73">
        <f t="shared" ca="1" si="60"/>
        <v>5.683298211265253E-2</v>
      </c>
      <c r="CY34" s="73">
        <f t="shared" ca="1" si="61"/>
        <v>0.60983368455401421</v>
      </c>
      <c r="CZ34" s="73">
        <f t="shared" si="62"/>
        <v>0.5239434903361142</v>
      </c>
      <c r="DA34" s="73">
        <f t="shared" si="63"/>
        <v>0.40530373402188014</v>
      </c>
      <c r="DB34" s="73">
        <f t="shared" si="64"/>
        <v>-0.26924921243768274</v>
      </c>
      <c r="DC34" s="73"/>
      <c r="DD34" s="73">
        <f t="shared" ca="1" si="388"/>
        <v>1772.6794553873078</v>
      </c>
      <c r="DE34" s="73">
        <f t="shared" ca="1" si="389"/>
        <v>15540.246449052414</v>
      </c>
      <c r="DF34" s="73">
        <f t="shared" si="67"/>
        <v>7.5960615427303058</v>
      </c>
      <c r="DG34" s="73">
        <f t="shared" si="390"/>
        <v>1790.784043212572</v>
      </c>
      <c r="DH34" s="73">
        <f t="shared" si="391"/>
        <v>1517.6340432125721</v>
      </c>
      <c r="DI34" s="73">
        <f t="shared" si="392"/>
        <v>13602.905801982104</v>
      </c>
      <c r="DJ34" s="73">
        <f t="shared" si="70"/>
        <v>7.5960615427303058</v>
      </c>
      <c r="DK34" s="73">
        <f t="shared" si="393"/>
        <v>1790.784043212572</v>
      </c>
      <c r="DL34" s="73">
        <f t="shared" ca="1" si="72"/>
        <v>3.9192788506086051</v>
      </c>
      <c r="DM34" s="73">
        <f t="shared" si="73"/>
        <v>-0.26924921243768274</v>
      </c>
      <c r="DN34" s="73">
        <f t="shared" si="74"/>
        <v>0.52394349033611409</v>
      </c>
      <c r="DO34" s="73">
        <f t="shared" si="75"/>
        <v>0.40530373402188014</v>
      </c>
      <c r="DP34" s="73">
        <f t="shared" si="76"/>
        <v>1.7837308082540633</v>
      </c>
      <c r="DQ34" s="73">
        <f t="shared" ca="1" si="77"/>
        <v>15540.299535855829</v>
      </c>
      <c r="DR34" s="73">
        <f t="shared" si="394"/>
        <v>7.5958383155581695</v>
      </c>
      <c r="DS34" s="73">
        <f t="shared" ca="1" si="395"/>
        <v>1772.7465673381203</v>
      </c>
      <c r="DT34" s="73">
        <f t="shared" si="396"/>
        <v>1517.7055797110056</v>
      </c>
      <c r="DU34" s="73">
        <f t="shared" ca="1" si="397"/>
        <v>1698.6251442262144</v>
      </c>
      <c r="DV34" s="76">
        <f t="shared" ca="1" si="82"/>
        <v>1.8106545130855838</v>
      </c>
      <c r="DW34" s="73">
        <f t="shared" ca="1" si="83"/>
        <v>2.7465733893523474</v>
      </c>
      <c r="DX34" s="73">
        <f t="shared" ca="1" si="398"/>
        <v>4645.9130718800279</v>
      </c>
      <c r="DY34" s="73">
        <f t="shared" ca="1" si="399"/>
        <v>1691.5306504791965</v>
      </c>
      <c r="DZ34" s="73">
        <f t="shared" ca="1" si="85"/>
        <v>2.8441027942992099</v>
      </c>
      <c r="EA34" s="73"/>
      <c r="EB34" s="73">
        <f t="shared" si="86"/>
        <v>0.70023302263648468</v>
      </c>
      <c r="EC34" s="73">
        <f t="shared" si="87"/>
        <v>9.8873591989987481E-3</v>
      </c>
      <c r="ED34" s="73">
        <f t="shared" si="88"/>
        <v>5.4727344056492745E-2</v>
      </c>
      <c r="EE34" s="73">
        <f t="shared" si="89"/>
        <v>0.19853862212943635</v>
      </c>
      <c r="EF34" s="73">
        <f t="shared" si="90"/>
        <v>3.5241048773611504E-3</v>
      </c>
      <c r="EG34" s="73">
        <f t="shared" si="91"/>
        <v>0.58188585607940446</v>
      </c>
      <c r="EH34" s="73">
        <f t="shared" si="92"/>
        <v>0.12125534950071326</v>
      </c>
      <c r="EI34" s="73">
        <f t="shared" si="93"/>
        <v>1.1293965795417878E-3</v>
      </c>
      <c r="EJ34" s="73">
        <f t="shared" si="94"/>
        <v>3.1847133757961782E-4</v>
      </c>
      <c r="EK34" s="73">
        <f t="shared" si="95"/>
        <v>0</v>
      </c>
      <c r="EL34" s="73">
        <f t="shared" si="96"/>
        <v>0</v>
      </c>
      <c r="EM34" s="73">
        <f t="shared" si="400"/>
        <v>1.6714995263960128</v>
      </c>
      <c r="EN34" s="73">
        <f t="shared" si="401"/>
        <v>0.4189250499796941</v>
      </c>
      <c r="EO34" s="73">
        <f t="shared" si="401"/>
        <v>5.9152629377749689E-3</v>
      </c>
      <c r="EP34" s="73">
        <f t="shared" si="401"/>
        <v>3.2741465487873975E-2</v>
      </c>
      <c r="EQ34" s="73">
        <f t="shared" si="401"/>
        <v>0.11877874865900406</v>
      </c>
      <c r="ER34" s="73">
        <f t="shared" si="401"/>
        <v>2.1083493125239553E-3</v>
      </c>
      <c r="ES34" s="73">
        <f t="shared" si="401"/>
        <v>0.34812205860089707</v>
      </c>
      <c r="ET34" s="73">
        <f t="shared" si="401"/>
        <v>7.2542856031886996E-2</v>
      </c>
      <c r="EU34" s="73">
        <f t="shared" si="401"/>
        <v>6.7567867157995851E-4</v>
      </c>
      <c r="EV34" s="73">
        <f t="shared" si="401"/>
        <v>1.9053031876490367E-4</v>
      </c>
      <c r="EW34" s="73">
        <f t="shared" si="401"/>
        <v>0</v>
      </c>
      <c r="EX34" s="73">
        <f t="shared" si="401"/>
        <v>0</v>
      </c>
      <c r="EY34" s="73">
        <f t="shared" si="402"/>
        <v>0.99999999999999989</v>
      </c>
      <c r="EZ34" s="73">
        <f t="shared" si="100"/>
        <v>6.3353758483657485E-2</v>
      </c>
      <c r="FA34" s="73">
        <f t="shared" si="101"/>
        <v>0.47438042112133094</v>
      </c>
      <c r="FB34" s="73">
        <f t="shared" si="102"/>
        <v>1.4418654976082248</v>
      </c>
      <c r="FC34" s="73">
        <f t="shared" si="403"/>
        <v>0.98620931073112583</v>
      </c>
      <c r="FD34" s="73">
        <f t="shared" si="404"/>
        <v>2.0789418509304074</v>
      </c>
      <c r="FE34" s="73">
        <f t="shared" ca="1" si="105"/>
        <v>0.13434204306243644</v>
      </c>
      <c r="FF34" s="73">
        <f t="shared" ca="1" si="405"/>
        <v>1.2577583294191048E-2</v>
      </c>
      <c r="FG34" s="73">
        <f t="shared" ca="1" si="406"/>
        <v>9.3623582070621963E-2</v>
      </c>
      <c r="FH34" s="73">
        <f t="shared" ca="1" si="407"/>
        <v>0.2689389533283103</v>
      </c>
      <c r="FI34" s="73">
        <f t="shared" ca="1" si="147"/>
        <v>9.3194232381925299E-2</v>
      </c>
      <c r="FJ34" s="73">
        <f t="shared" ca="1" si="408"/>
        <v>0.34652560080486883</v>
      </c>
      <c r="FK34" s="73">
        <f t="shared" ca="1" si="409"/>
        <v>9.3194232381925313E-2</v>
      </c>
      <c r="FL34" s="73">
        <f t="shared" ca="1" si="109"/>
        <v>9.3194232381925327E-2</v>
      </c>
      <c r="FM34" s="73"/>
      <c r="FN34" s="73"/>
      <c r="FO34" s="73"/>
      <c r="FP34" s="73">
        <f t="shared" ca="1" si="410"/>
        <v>1.8295010536620424</v>
      </c>
      <c r="FQ34" s="73">
        <f t="shared" ca="1" si="411"/>
        <v>0.17049894633795759</v>
      </c>
      <c r="FR34" s="73">
        <f t="shared" si="412"/>
        <v>0.33333333333333331</v>
      </c>
      <c r="FS34" s="73">
        <f t="shared" ca="1" si="413"/>
        <v>5.683298211265253E-2</v>
      </c>
      <c r="FT34" s="73">
        <f t="shared" ca="1" si="414"/>
        <v>0.6098336845540141</v>
      </c>
      <c r="FU34" s="73">
        <f t="shared" si="415"/>
        <v>20.026666666666664</v>
      </c>
      <c r="FV34" s="73">
        <f t="shared" ca="1" si="416"/>
        <v>4.0834497647940839</v>
      </c>
      <c r="FW34" s="73">
        <f t="shared" ca="1" si="417"/>
        <v>24.576297487526766</v>
      </c>
      <c r="FX34" s="73">
        <f t="shared" ca="1" si="418"/>
        <v>48.686413918987512</v>
      </c>
      <c r="FY34" s="73">
        <f t="shared" ca="1" si="419"/>
        <v>41.133994177493406</v>
      </c>
      <c r="FZ34" s="73">
        <f t="shared" ca="1" si="419"/>
        <v>8.3872469465276307</v>
      </c>
      <c r="GA34" s="73">
        <f t="shared" ca="1" si="419"/>
        <v>50.478758875978968</v>
      </c>
      <c r="GB34" s="73">
        <f t="shared" ca="1" si="420"/>
        <v>91.47505268310212</v>
      </c>
      <c r="GC34" s="73">
        <f t="shared" ca="1" si="119"/>
        <v>3919278850.6086054</v>
      </c>
      <c r="GD34" s="2">
        <f t="shared" si="152"/>
        <v>38</v>
      </c>
      <c r="GE34">
        <f t="shared" ca="1" si="153"/>
        <v>1562.5675100234853</v>
      </c>
      <c r="GF34">
        <f t="shared" ca="1" si="120"/>
        <v>1562.4709080440261</v>
      </c>
      <c r="GG34">
        <f t="shared" ca="1" si="121"/>
        <v>1870.5224453224778</v>
      </c>
      <c r="GH34" s="2">
        <f t="shared" ca="1" si="122"/>
        <v>0.64120987112789773</v>
      </c>
      <c r="GI34" s="2">
        <f t="shared" ca="1" si="123"/>
        <v>1.0113777871162011</v>
      </c>
      <c r="GJ34" s="2">
        <f t="shared" ca="1" si="124"/>
        <v>-1.2321724974518782</v>
      </c>
      <c r="GK34" s="2">
        <f t="shared" ca="1" si="125"/>
        <v>1.2258754314850677</v>
      </c>
      <c r="GL34" s="2">
        <f t="shared" ca="1" si="154"/>
        <v>-0.64120987112789773</v>
      </c>
      <c r="GM34">
        <f t="shared" ca="1" si="155"/>
        <v>0.33504559702263331</v>
      </c>
      <c r="GN34">
        <f t="shared" ca="1" si="156"/>
        <v>3.7610728467173782E-2</v>
      </c>
      <c r="GO34">
        <f t="shared" ca="1" si="157"/>
        <v>-0.1382104844410143</v>
      </c>
      <c r="GP34">
        <f t="shared" ca="1" si="158"/>
        <v>-0.26153141447296729</v>
      </c>
      <c r="GQ34">
        <f t="shared" ca="1" si="159"/>
        <v>0.27500830865851328</v>
      </c>
      <c r="GR34">
        <f t="shared" ca="1" si="160"/>
        <v>0.11225555208425279</v>
      </c>
      <c r="GS34">
        <f t="shared" ca="1" si="161"/>
        <v>0.16093165849912677</v>
      </c>
      <c r="GT34">
        <f t="shared" ca="1" si="162"/>
        <v>4.3110698453841176E-3</v>
      </c>
      <c r="GU34">
        <f t="shared" ca="1" si="163"/>
        <v>0.69433668372976665</v>
      </c>
      <c r="GV34">
        <f t="shared" ca="1" si="164"/>
        <v>-0.23440034264069401</v>
      </c>
      <c r="GW34">
        <f t="shared" ca="1" si="165"/>
        <v>0.79498193811170603</v>
      </c>
      <c r="GY34" s="15">
        <f t="shared" si="166"/>
        <v>0.22371052904137323</v>
      </c>
      <c r="GZ34" s="2">
        <f t="shared" si="167"/>
        <v>3.8656728425648941E-2</v>
      </c>
      <c r="HA34" s="2">
        <f t="shared" si="168"/>
        <v>5.7208418886974186E-2</v>
      </c>
      <c r="HB34" s="2">
        <f t="shared" si="169"/>
        <v>0.31957567635399636</v>
      </c>
      <c r="HC34" s="2">
        <f t="shared" si="170"/>
        <v>0.70002364258025507</v>
      </c>
      <c r="HD34" s="2">
        <f t="shared" si="171"/>
        <v>0.12096267421438106</v>
      </c>
      <c r="HE34" s="2">
        <f t="shared" si="172"/>
        <v>0.17901368320536382</v>
      </c>
      <c r="HF34" s="2">
        <f t="shared" si="127"/>
        <v>-1.3621864412932241</v>
      </c>
      <c r="HG34" s="2">
        <f t="shared" si="128"/>
        <v>-1.3519038032025847</v>
      </c>
      <c r="HH34" s="2">
        <f t="shared" si="173"/>
        <v>-1.3570451222479045</v>
      </c>
      <c r="HI34" s="2">
        <f t="shared" si="129"/>
        <v>2.2256909675379259</v>
      </c>
      <c r="HJ34" s="2">
        <f t="shared" si="130"/>
        <v>0.20831208898658624</v>
      </c>
      <c r="HK34" s="2">
        <f t="shared" si="131"/>
        <v>0.34951760221130107</v>
      </c>
      <c r="HL34" s="2">
        <f t="shared" si="132"/>
        <v>0.56221521205748326</v>
      </c>
    </row>
    <row r="35" spans="1:220" ht="20.25">
      <c r="A35" s="88" t="s">
        <v>152</v>
      </c>
      <c r="B35" s="77">
        <v>3500</v>
      </c>
      <c r="C35" s="95">
        <f t="shared" ref="C35:C36" ca="1" si="421">E35</f>
        <v>-0.82442897323724496</v>
      </c>
      <c r="D35" s="70">
        <f t="shared" ca="1" si="0"/>
        <v>-9.9471083823129636E-2</v>
      </c>
      <c r="E35" s="71">
        <f t="shared" ca="1" si="1"/>
        <v>-0.82442897323724229</v>
      </c>
      <c r="F35" s="84">
        <v>46.46</v>
      </c>
      <c r="G35" s="84">
        <v>0.19</v>
      </c>
      <c r="H35" s="84">
        <v>3.58</v>
      </c>
      <c r="I35" s="84">
        <v>10.28</v>
      </c>
      <c r="J35" s="84">
        <v>0.21</v>
      </c>
      <c r="K35" s="84">
        <v>32.97</v>
      </c>
      <c r="L35" s="84">
        <v>5.0999999999999996</v>
      </c>
      <c r="M35" s="84">
        <v>0.49</v>
      </c>
      <c r="N35" s="84">
        <v>0.18</v>
      </c>
      <c r="O35" s="84">
        <v>0.43</v>
      </c>
      <c r="P35" s="84">
        <v>0.01</v>
      </c>
      <c r="Q35" s="84"/>
      <c r="R35" s="72">
        <f t="shared" ref="R35:R36" si="422">SUM(F35:P35)</f>
        <v>99.9</v>
      </c>
      <c r="S35" s="106">
        <f t="shared" ca="1" si="2"/>
        <v>5.73535796446851</v>
      </c>
      <c r="T35" s="104">
        <f t="shared" ca="1" si="135"/>
        <v>0.37186991301574795</v>
      </c>
      <c r="U35" s="107">
        <f t="shared" ref="U35:U36" ca="1" si="423">AY35</f>
        <v>2000.1291896252949</v>
      </c>
      <c r="V35" s="107">
        <f t="shared" ref="V35:V36" ca="1" si="424">AZ35</f>
        <v>1861.4409005957523</v>
      </c>
      <c r="W35" s="105">
        <f t="shared" ca="1" si="4"/>
        <v>1868.6310088769803</v>
      </c>
      <c r="X35" s="102">
        <f t="shared" ca="1" si="5"/>
        <v>2269.1511340840375</v>
      </c>
      <c r="Y35" s="102">
        <f t="shared" ca="1" si="6"/>
        <v>2015.6212450773673</v>
      </c>
      <c r="Z35" s="103">
        <f t="shared" ca="1" si="7"/>
        <v>2192.9029186581797</v>
      </c>
      <c r="AA35" s="103">
        <f t="shared" ca="1" si="8"/>
        <v>2141.5301992979616</v>
      </c>
      <c r="AB35" s="103">
        <f t="shared" ca="1" si="136"/>
        <v>139.85404566294494</v>
      </c>
      <c r="AC35" s="4">
        <v>13.3</v>
      </c>
      <c r="AD35" s="273">
        <f t="shared" ca="1" si="9"/>
        <v>14.40118588231833</v>
      </c>
      <c r="AE35" s="3">
        <f t="shared" ca="1" si="10"/>
        <v>129.45319275401272</v>
      </c>
      <c r="AF35" s="3">
        <f t="shared" ca="1" si="11"/>
        <v>215.83181004774434</v>
      </c>
      <c r="AG35" s="2">
        <f t="shared" ca="1" si="12"/>
        <v>599.78736556662466</v>
      </c>
      <c r="AH35" s="2">
        <f t="shared" ca="1" si="13"/>
        <v>362.68525485015442</v>
      </c>
      <c r="AI35" s="87">
        <f t="shared" si="14"/>
        <v>0.6002954814960052</v>
      </c>
      <c r="AJ35" s="87">
        <f t="shared" ca="1" si="15"/>
        <v>5.73535796446851</v>
      </c>
      <c r="AK35" s="87">
        <f t="shared" ca="1" si="16"/>
        <v>0.33120344451992328</v>
      </c>
      <c r="AL35" s="86">
        <f t="shared" ca="1" si="17"/>
        <v>0.27297106750668565</v>
      </c>
      <c r="AM35" s="87">
        <f t="shared" ca="1" si="18"/>
        <v>0.37186991301574807</v>
      </c>
      <c r="AN35" s="87">
        <f t="shared" ca="1" si="19"/>
        <v>0.37186991301574795</v>
      </c>
      <c r="AO35" s="96">
        <f t="shared" ref="AO35:AO36" ca="1" si="425">FY35</f>
        <v>41.851540381842469</v>
      </c>
      <c r="AP35" s="96">
        <f t="shared" ref="AP35:AP36" ca="1" si="426">FZ35</f>
        <v>4.5609407947725558</v>
      </c>
      <c r="AQ35" s="96">
        <f t="shared" ref="AQ35:AQ36" ca="1" si="427">GA35</f>
        <v>53.587518823384968</v>
      </c>
      <c r="AR35" s="73"/>
      <c r="AS35" s="53">
        <f t="shared" ca="1" si="138"/>
        <v>88.62307646414817</v>
      </c>
      <c r="AT35" s="68">
        <f t="shared" ca="1" si="139"/>
        <v>95.443659799012124</v>
      </c>
      <c r="AU35" s="74">
        <f t="shared" ca="1" si="23"/>
        <v>0.37186991301574795</v>
      </c>
      <c r="AV35" s="68">
        <f t="shared" ref="AV35:AV36" si="428">(0.666-(-0.049*CK35+0.027*CJ35))/(1*CL35+0.259*CK35+0.299*CJ35)</f>
        <v>1.4846717512772643</v>
      </c>
      <c r="AW35" s="68">
        <f t="shared" ca="1" si="25"/>
        <v>1.4982859383177805</v>
      </c>
      <c r="AX35" s="69">
        <f t="shared" ref="AX35:AX36" ca="1" si="429">(DE35/DF35)-273.15</f>
        <v>2020.1601810764419</v>
      </c>
      <c r="AY35" s="69">
        <f t="shared" ref="AY35:AY36" ca="1" si="430">(DK35-273.15)+54*DL35+2*DL35^2</f>
        <v>2000.1291896252935</v>
      </c>
      <c r="AZ35" s="69">
        <f t="shared" ca="1" si="28"/>
        <v>1861.4409005957514</v>
      </c>
      <c r="BA35" s="75"/>
      <c r="BB35" s="74">
        <f t="shared" ref="BB35:BB36" ca="1" si="431">AVERAGE(BD35:BF35,BI35)</f>
        <v>0.60468972117731035</v>
      </c>
      <c r="BC35" s="74">
        <f t="shared" ref="BC35:BC36" ca="1" si="432">STDEV(BE35,BI35)</f>
        <v>2.6930361405154615E-2</v>
      </c>
      <c r="BD35" s="68">
        <f t="shared" si="29"/>
        <v>0.67953199999999991</v>
      </c>
      <c r="BE35" s="68">
        <f t="shared" ca="1" si="30"/>
        <v>0.71776730597021354</v>
      </c>
      <c r="BF35" s="68">
        <f t="shared" ca="1" si="31"/>
        <v>0.3417775551075859</v>
      </c>
      <c r="BH35" s="68">
        <f t="shared" ca="1" si="32"/>
        <v>0.70077520097561008</v>
      </c>
      <c r="BI35" s="68">
        <f t="shared" ca="1" si="33"/>
        <v>0.67968202363143693</v>
      </c>
      <c r="BK35" s="53">
        <f t="shared" ca="1" si="142"/>
        <v>1.0957790413063271</v>
      </c>
      <c r="BL35" s="53">
        <f t="shared" si="34"/>
        <v>0.86732587954515616</v>
      </c>
      <c r="BM35" s="53">
        <f t="shared" si="143"/>
        <v>0.89952018970216385</v>
      </c>
      <c r="BN35" s="53">
        <f t="shared" si="35"/>
        <v>1.9322611745996789</v>
      </c>
      <c r="BO35" s="53">
        <f t="shared" si="36"/>
        <v>0.61045839272239788</v>
      </c>
      <c r="BP35" s="53">
        <f t="shared" si="37"/>
        <v>0.51114829493741976</v>
      </c>
      <c r="BQ35" s="54">
        <f t="shared" si="38"/>
        <v>1650.5446559999998</v>
      </c>
      <c r="BR35" s="262">
        <f t="shared" si="39"/>
        <v>25.992005508997398</v>
      </c>
      <c r="BS35" s="54">
        <f t="shared" si="144"/>
        <v>2273.797029906731</v>
      </c>
      <c r="BT35" s="67"/>
      <c r="BU35" s="73">
        <f t="shared" si="40"/>
        <v>0.77330226364846877</v>
      </c>
      <c r="BV35" s="73">
        <f t="shared" si="41"/>
        <v>2.3779724655819774E-3</v>
      </c>
      <c r="BW35" s="73">
        <f t="shared" si="42"/>
        <v>7.0223617104746963E-2</v>
      </c>
      <c r="BX35" s="73">
        <f t="shared" si="43"/>
        <v>0.14307585247042451</v>
      </c>
      <c r="BY35" s="73">
        <f t="shared" si="44"/>
        <v>2.9602480969833662E-3</v>
      </c>
      <c r="BZ35" s="73">
        <f t="shared" si="45"/>
        <v>0.81811414392059556</v>
      </c>
      <c r="CA35" s="73">
        <f t="shared" si="46"/>
        <v>9.0941512125534946E-2</v>
      </c>
      <c r="CB35" s="73">
        <f t="shared" si="47"/>
        <v>1.5811552113585026E-2</v>
      </c>
      <c r="CC35" s="73">
        <f t="shared" si="48"/>
        <v>3.8216560509554136E-3</v>
      </c>
      <c r="CD35" s="73">
        <f t="shared" si="49"/>
        <v>5.658266991249424E-3</v>
      </c>
      <c r="CE35" s="73">
        <f t="shared" si="50"/>
        <v>1.409046075806679E-4</v>
      </c>
      <c r="CF35" s="73">
        <f t="shared" ref="CF35:CF36" si="433">SUM(BU35:CE35)</f>
        <v>1.926427989595707</v>
      </c>
      <c r="CG35" s="73">
        <f t="shared" ref="CG35:CG36" si="434">BU35/$CF35</f>
        <v>0.40141768486802309</v>
      </c>
      <c r="CH35" s="73">
        <f t="shared" ref="CH35:CH36" si="435">BV35/$CF35</f>
        <v>1.2343946819839524E-3</v>
      </c>
      <c r="CI35" s="73">
        <f t="shared" ref="CI35:CI36" si="436">BW35/$CF35</f>
        <v>3.6452759970272523E-2</v>
      </c>
      <c r="CJ35" s="73">
        <f t="shared" ref="CJ35:CJ36" si="437">BX35/$CF35</f>
        <v>7.4270023713915903E-2</v>
      </c>
      <c r="CK35" s="73">
        <f t="shared" ref="CK35:CK36" si="438">BY35/$CF35</f>
        <v>1.5366513116353876E-3</v>
      </c>
      <c r="CL35" s="73">
        <f t="shared" ref="CL35:CL36" si="439">BZ35/$CF35</f>
        <v>0.42467932792665164</v>
      </c>
      <c r="CM35" s="73">
        <f t="shared" ref="CM35:CM36" si="440">CA35/$CF35</f>
        <v>4.7207324964490642E-2</v>
      </c>
      <c r="CN35" s="73">
        <f t="shared" ref="CN35:CN36" si="441">CB35/$CF35</f>
        <v>8.2077047255232956E-3</v>
      </c>
      <c r="CO35" s="73">
        <f t="shared" ref="CO35:CO36" si="442">CC35/$CF35</f>
        <v>1.9838042592796069E-3</v>
      </c>
      <c r="CP35" s="73">
        <f t="shared" ref="CP35:CP36" si="443">CD35/CF35</f>
        <v>2.9371806378482414E-3</v>
      </c>
      <c r="CQ35" s="73">
        <f t="shared" ref="CQ35:CQ36" si="444">CE35/CF35</f>
        <v>7.3142940375486897E-5</v>
      </c>
      <c r="CR35" s="73"/>
      <c r="CS35" s="73">
        <f t="shared" ca="1" si="55"/>
        <v>0.69659687719444852</v>
      </c>
      <c r="CT35" s="73">
        <f t="shared" ca="1" si="56"/>
        <v>6.3478647108873437E-2</v>
      </c>
      <c r="CU35" s="73">
        <f t="shared" ca="1" si="57"/>
        <v>1.3297151072800242</v>
      </c>
      <c r="CV35" s="73">
        <f t="shared" ca="1" si="58"/>
        <v>2.0897906315833463</v>
      </c>
      <c r="CW35" s="73">
        <f t="shared" ca="1" si="59"/>
        <v>0.3333333333333332</v>
      </c>
      <c r="CX35" s="73">
        <f t="shared" ca="1" si="60"/>
        <v>3.0375601339919081E-2</v>
      </c>
      <c r="CY35" s="73">
        <f t="shared" ca="1" si="61"/>
        <v>0.63629106532674762</v>
      </c>
      <c r="CZ35" s="73">
        <f t="shared" si="62"/>
        <v>0.54769332791669356</v>
      </c>
      <c r="DA35" s="73">
        <f t="shared" si="63"/>
        <v>0.40141768486802309</v>
      </c>
      <c r="DB35" s="73">
        <f t="shared" si="64"/>
        <v>-0.13861426973940255</v>
      </c>
      <c r="DC35" s="73"/>
      <c r="DD35" s="73">
        <f t="shared" ref="DD35:DD36" ca="1" si="445">(DE35/DF35)-273.15</f>
        <v>2020.1601810764419</v>
      </c>
      <c r="DE35" s="73">
        <f t="shared" ref="DE35:DE36" ca="1" si="446">113.1*1000/8.3144+(DL35*10^9-10^5)*4.11*(10^-6)/8.3144</f>
        <v>16437.976310252758</v>
      </c>
      <c r="DF35" s="73">
        <f t="shared" si="67"/>
        <v>7.1677945904975884</v>
      </c>
      <c r="DG35" s="73">
        <f t="shared" ref="DG35:DG36" si="447">DI35/DJ35</f>
        <v>1897.7811975828106</v>
      </c>
      <c r="DH35" s="73">
        <f t="shared" ref="DH35:DH40" si="448">DG35-273.15</f>
        <v>1624.6311975828107</v>
      </c>
      <c r="DI35" s="73">
        <f t="shared" ref="DI35:DI79" si="449">113.1*1000/8.3144+(0.0001*10^9-10^5)*4.11*(10^-6)/8.3144</f>
        <v>13602.905801982104</v>
      </c>
      <c r="DJ35" s="73">
        <f t="shared" si="70"/>
        <v>7.1677945904975884</v>
      </c>
      <c r="DK35" s="73">
        <f t="shared" ref="DK35:DK36" si="450">DI35/DJ35</f>
        <v>1897.7811975828106</v>
      </c>
      <c r="DL35" s="73">
        <f t="shared" ca="1" si="72"/>
        <v>5.73535796446851</v>
      </c>
      <c r="DM35" s="73">
        <f t="shared" si="73"/>
        <v>-0.13861426973940255</v>
      </c>
      <c r="DN35" s="73">
        <f t="shared" si="74"/>
        <v>0.54769332791669356</v>
      </c>
      <c r="DO35" s="73">
        <f t="shared" si="75"/>
        <v>0.40141768486802309</v>
      </c>
      <c r="DP35" s="73">
        <f t="shared" si="76"/>
        <v>1.4846717512772643</v>
      </c>
      <c r="DQ35" s="73">
        <f t="shared" ca="1" si="77"/>
        <v>16437.98744183678</v>
      </c>
      <c r="DR35" s="73">
        <f t="shared" ref="DR35:DR36" si="451">6.26+2*LN(DP35)+2*LN(1.5*DN35)+2*LN(3*DO35)-DM35</f>
        <v>7.167571363325453</v>
      </c>
      <c r="DS35" s="73">
        <f t="shared" ref="DS35:DS36" ca="1" si="452">(DQ35/DR35)-273.15</f>
        <v>2020.2331570824072</v>
      </c>
      <c r="DT35" s="73">
        <f t="shared" ref="DT35:DT36" si="453">(13603+4.943*10^-7*(0.0001*10^9-10^-5))/(6.26+2*LN(DP35)+2*LN(1.5*DN35)+2*LN(3*DO35)-DM35)-273.15</f>
        <v>1624.7103407568657</v>
      </c>
      <c r="DU35" s="73">
        <f t="shared" ref="DU35:DU36" ca="1" si="454">DT35+54*DL35-2*DL35^2</f>
        <v>1868.6310088769803</v>
      </c>
      <c r="DV35" s="76">
        <f t="shared" ca="1" si="82"/>
        <v>1.4982859383177805</v>
      </c>
      <c r="DW35" s="73">
        <f t="shared" ca="1" si="83"/>
        <v>2.5280512469316716</v>
      </c>
      <c r="DX35" s="73">
        <f t="shared" ref="DX35:DX36" ca="1" si="455">55.09*DL35+4430</f>
        <v>4745.9608702625701</v>
      </c>
      <c r="DY35" s="73">
        <f t="shared" ref="DY35:DY36" ca="1" si="456">DX35/DW35</f>
        <v>1877.3198826656715</v>
      </c>
      <c r="DZ35" s="73">
        <f t="shared" ca="1" si="85"/>
        <v>2.3648110861411098</v>
      </c>
      <c r="EA35" s="73"/>
      <c r="EB35" s="73">
        <f t="shared" si="86"/>
        <v>0.77330226364846877</v>
      </c>
      <c r="EC35" s="73">
        <f t="shared" si="87"/>
        <v>2.3779724655819774E-3</v>
      </c>
      <c r="ED35" s="73">
        <f t="shared" si="88"/>
        <v>3.5111808552373482E-2</v>
      </c>
      <c r="EE35" s="73">
        <f t="shared" si="89"/>
        <v>0.14307585247042451</v>
      </c>
      <c r="EF35" s="73">
        <f t="shared" si="90"/>
        <v>2.9602480969833662E-3</v>
      </c>
      <c r="EG35" s="73">
        <f t="shared" si="91"/>
        <v>0.81811414392059556</v>
      </c>
      <c r="EH35" s="73">
        <f t="shared" si="92"/>
        <v>9.0941512125534946E-2</v>
      </c>
      <c r="EI35" s="73">
        <f t="shared" si="93"/>
        <v>7.9057760567925132E-3</v>
      </c>
      <c r="EJ35" s="73">
        <f t="shared" si="94"/>
        <v>1.9108280254777068E-3</v>
      </c>
      <c r="EK35" s="73">
        <f t="shared" si="95"/>
        <v>2.829133495624712E-3</v>
      </c>
      <c r="EL35" s="73">
        <f t="shared" si="96"/>
        <v>7.0452303790333949E-5</v>
      </c>
      <c r="EM35" s="73">
        <f t="shared" ref="EM35:EM36" si="457">SUM(EB35:EL35)</f>
        <v>1.8785999911616482</v>
      </c>
      <c r="EN35" s="73">
        <f t="shared" ref="EN35:EN36" si="458">EB35/$EM35</f>
        <v>0.4116375318251177</v>
      </c>
      <c r="EO35" s="73">
        <f t="shared" ref="EO35:EO36" si="459">EC35/$EM35</f>
        <v>1.2658216101191068E-3</v>
      </c>
      <c r="EP35" s="73">
        <f t="shared" ref="EP35:EP36" si="460">ED35/$EM35</f>
        <v>1.8690412390911276E-2</v>
      </c>
      <c r="EQ35" s="73">
        <f t="shared" ref="EQ35:EQ36" si="461">EE35/$EM35</f>
        <v>7.6160892762462087E-2</v>
      </c>
      <c r="ER35" s="73">
        <f t="shared" ref="ER35:ER36" si="462">EF35/$EM35</f>
        <v>1.575773507351542E-3</v>
      </c>
      <c r="ES35" s="73">
        <f t="shared" ref="ES35:ES36" si="463">EG35/$EM35</f>
        <v>0.43549140198531977</v>
      </c>
      <c r="ET35" s="73">
        <f t="shared" ref="ET35:ET36" si="464">EH35/$EM35</f>
        <v>4.8409194375275438E-2</v>
      </c>
      <c r="EU35" s="73">
        <f t="shared" ref="EU35:EU36" si="465">EI35/$EM35</f>
        <v>4.2083339156751033E-3</v>
      </c>
      <c r="EV35" s="73">
        <f t="shared" ref="EV35:EV36" si="466">EJ35/$EM35</f>
        <v>1.0171553467836067E-3</v>
      </c>
      <c r="EW35" s="73">
        <f t="shared" ref="EW35:EW36" si="467">EK35/$EM35</f>
        <v>1.5059797236958855E-3</v>
      </c>
      <c r="EX35" s="73">
        <f t="shared" ref="EX35:EX36" si="468">EL35/$EM35</f>
        <v>3.7502557288296999E-5</v>
      </c>
      <c r="EY35" s="73">
        <f t="shared" ref="EY35:EY36" si="469">SUM(EN35:EX35)</f>
        <v>0.99999999999999989</v>
      </c>
      <c r="EZ35" s="73">
        <f t="shared" si="100"/>
        <v>3.6452759970272523E-2</v>
      </c>
      <c r="FA35" s="73">
        <f t="shared" si="101"/>
        <v>0.43910483952027957</v>
      </c>
      <c r="FB35" s="73">
        <f t="shared" si="102"/>
        <v>1.4173610097722291</v>
      </c>
      <c r="FC35" s="73">
        <f t="shared" ref="FC35:FC36" si="470">(2*FB35-4*FA35)</f>
        <v>1.07830266146334</v>
      </c>
      <c r="FD35" s="73">
        <f t="shared" ref="FD35:FD36" si="471">FC35/FA35</f>
        <v>2.4556838468038333</v>
      </c>
      <c r="FE35" s="73">
        <f t="shared" ca="1" si="105"/>
        <v>0.18115261520644479</v>
      </c>
      <c r="FF35" s="73">
        <f t="shared" ref="FF35:FF36" ca="1" si="472">EQ35*FE35/(1+2*FE35)</f>
        <v>1.0127499030592478E-2</v>
      </c>
      <c r="FG35" s="73">
        <f t="shared" ref="FG35:FG36" ca="1" si="473">EQ35-2*FF35</f>
        <v>5.5905894701277131E-2</v>
      </c>
      <c r="FH35" s="73">
        <f t="shared" ref="FH35:FH36" ca="1" si="474">FG35/ES35</f>
        <v>0.12837427890978589</v>
      </c>
      <c r="FI35" s="73">
        <f t="shared" ca="1" si="147"/>
        <v>4.7738531931641424E-2</v>
      </c>
      <c r="FJ35" s="73">
        <f t="shared" ref="FJ35:FJ36" ca="1" si="475">FI35/FH35</f>
        <v>0.37186991301574779</v>
      </c>
      <c r="FK35" s="73">
        <f t="shared" ref="FK35:FK36" ca="1" si="476">FQ35/FP35</f>
        <v>4.7738531931641438E-2</v>
      </c>
      <c r="FL35" s="73">
        <f t="shared" ca="1" si="109"/>
        <v>4.7738531931641459E-2</v>
      </c>
      <c r="FM35" s="73"/>
      <c r="FN35" s="73"/>
      <c r="FO35" s="73"/>
      <c r="FP35" s="73">
        <f t="shared" ref="FP35:FP40" ca="1" si="477">2/(1+FL35)</f>
        <v>1.9088731959802427</v>
      </c>
      <c r="FQ35" s="73">
        <f t="shared" ref="FQ35:FQ40" ca="1" si="478">2-FP35</f>
        <v>9.1126804019757257E-2</v>
      </c>
      <c r="FR35" s="73">
        <f t="shared" ref="FR35:FR79" si="479">1/3</f>
        <v>0.33333333333333331</v>
      </c>
      <c r="FS35" s="73">
        <f t="shared" ref="FS35:FS36" ca="1" si="480">FQ35/3</f>
        <v>3.0375601339919085E-2</v>
      </c>
      <c r="FT35" s="73">
        <f t="shared" ref="FT35:FT36" ca="1" si="481">FP35/3</f>
        <v>0.63629106532674762</v>
      </c>
      <c r="FU35" s="73">
        <f t="shared" ref="FU35:FU36" si="482">60.08*FR35</f>
        <v>20.026666666666664</v>
      </c>
      <c r="FV35" s="73">
        <f t="shared" ref="FV35:FV36" ca="1" si="483">71.85*FS35</f>
        <v>2.1824869562731859</v>
      </c>
      <c r="FW35" s="73">
        <f t="shared" ref="FW35:FW36" ca="1" si="484">40.3*FT35</f>
        <v>25.642529932667927</v>
      </c>
      <c r="FX35" s="73">
        <f t="shared" ref="FX35:FX36" ca="1" si="485">SUM(FU35:FW35)</f>
        <v>47.851683555607778</v>
      </c>
      <c r="FY35" s="73">
        <f t="shared" ref="FY35:FY36" ca="1" si="486">100*FU35/$FX35</f>
        <v>41.851540381842469</v>
      </c>
      <c r="FZ35" s="73">
        <f t="shared" ref="FZ35:FZ36" ca="1" si="487">100*FV35/$FX35</f>
        <v>4.5609407947725558</v>
      </c>
      <c r="GA35" s="73">
        <f t="shared" ref="GA35:GA36" ca="1" si="488">100*FW35/$FX35</f>
        <v>53.587518823384968</v>
      </c>
      <c r="GB35" s="73">
        <f t="shared" ref="GB35:GB36" ca="1" si="489">100*GA35/40.3/(GA35/40.3+FZ35/71.85)</f>
        <v>95.443659799012124</v>
      </c>
      <c r="GC35" s="73">
        <f t="shared" ca="1" si="119"/>
        <v>5735357964.4685097</v>
      </c>
      <c r="GD35" s="2">
        <f t="shared" si="152"/>
        <v>38</v>
      </c>
      <c r="GE35">
        <f t="shared" ca="1" si="153"/>
        <v>1713.7918466823128</v>
      </c>
      <c r="GF35">
        <f t="shared" ca="1" si="120"/>
        <v>1714.3364081529214</v>
      </c>
      <c r="GG35">
        <f t="shared" ca="1" si="121"/>
        <v>1944.7312244176162</v>
      </c>
      <c r="GH35" s="2">
        <f t="shared" ca="1" si="122"/>
        <v>1.2404479671280162</v>
      </c>
      <c r="GI35" s="2">
        <f t="shared" ca="1" si="123"/>
        <v>0.46292189473050982</v>
      </c>
      <c r="GJ35" s="2">
        <f t="shared" ca="1" si="124"/>
        <v>-0.19337524432401265</v>
      </c>
      <c r="GK35" s="2">
        <f t="shared" ca="1" si="125"/>
        <v>0.73371799162903351</v>
      </c>
      <c r="GL35" s="2">
        <f t="shared" ca="1" si="154"/>
        <v>-1.2404479671280162</v>
      </c>
      <c r="GM35">
        <f t="shared" ca="1" si="155"/>
        <v>8.7851757092063984E-2</v>
      </c>
      <c r="GN35">
        <f t="shared" ca="1" si="156"/>
        <v>6.7803381915842521E-4</v>
      </c>
      <c r="GO35">
        <f t="shared" ca="1" si="157"/>
        <v>-2.7713987058003538E-2</v>
      </c>
      <c r="GP35">
        <f t="shared" ca="1" si="158"/>
        <v>-0.84531658026670309</v>
      </c>
      <c r="GQ35">
        <f t="shared" ca="1" si="159"/>
        <v>0.21030872897215361</v>
      </c>
      <c r="GR35">
        <f t="shared" ca="1" si="160"/>
        <v>7.7179312241630145E-3</v>
      </c>
      <c r="GS35">
        <f t="shared" ca="1" si="161"/>
        <v>0.81828062702785798</v>
      </c>
      <c r="GT35">
        <f t="shared" ca="1" si="162"/>
        <v>8.3149404595795322E-3</v>
      </c>
      <c r="GU35">
        <f t="shared" ca="1" si="163"/>
        <v>1.1796633907484015</v>
      </c>
      <c r="GV35">
        <f t="shared" ca="1" si="164"/>
        <v>-0.17173610653413743</v>
      </c>
      <c r="GW35">
        <f t="shared" ca="1" si="165"/>
        <v>1.0957790413063282</v>
      </c>
      <c r="GY35" s="15">
        <f t="shared" si="166"/>
        <v>0.24535366449492449</v>
      </c>
      <c r="GZ35" s="2">
        <f t="shared" si="167"/>
        <v>2.1462213724726269E-2</v>
      </c>
      <c r="HA35" s="2">
        <f t="shared" si="168"/>
        <v>5.9686508330308946E-2</v>
      </c>
      <c r="HB35" s="2">
        <f t="shared" si="169"/>
        <v>0.32650238654995967</v>
      </c>
      <c r="HC35" s="2">
        <f t="shared" si="170"/>
        <v>0.75146055466085171</v>
      </c>
      <c r="HD35" s="2">
        <f t="shared" si="171"/>
        <v>6.573371163228002E-2</v>
      </c>
      <c r="HE35" s="2">
        <f t="shared" si="172"/>
        <v>0.18280573370686842</v>
      </c>
      <c r="HF35" s="2">
        <f t="shared" si="127"/>
        <v>-1.3584052937226112</v>
      </c>
      <c r="HG35" s="2">
        <f t="shared" si="128"/>
        <v>-1.3490974889124778</v>
      </c>
      <c r="HH35" s="2">
        <f t="shared" si="173"/>
        <v>-1.3537513913175445</v>
      </c>
      <c r="HI35" s="2">
        <f t="shared" si="129"/>
        <v>2.2509617030345193</v>
      </c>
      <c r="HJ35" s="2">
        <f t="shared" si="130"/>
        <v>0.20492393512152307</v>
      </c>
      <c r="HK35" s="2">
        <f t="shared" si="131"/>
        <v>0.35830668680795374</v>
      </c>
      <c r="HL35" s="2">
        <f t="shared" si="132"/>
        <v>0.78015564202334631</v>
      </c>
    </row>
    <row r="36" spans="1:220" ht="20.25">
      <c r="A36" s="88" t="s">
        <v>152</v>
      </c>
      <c r="B36" s="77">
        <v>3500</v>
      </c>
      <c r="C36" s="95">
        <f t="shared" ca="1" si="421"/>
        <v>-1.9925473065233894</v>
      </c>
      <c r="D36" s="70">
        <f t="shared" ca="1" si="0"/>
        <v>-1.57097924156405</v>
      </c>
      <c r="E36" s="71">
        <f t="shared" ca="1" si="1"/>
        <v>-1.9925473065233921</v>
      </c>
      <c r="F36" s="83">
        <v>47.588395715895587</v>
      </c>
      <c r="G36" s="83">
        <v>0.23749999999999999</v>
      </c>
      <c r="H36" s="83">
        <v>4.4749999999999996</v>
      </c>
      <c r="I36" s="83">
        <v>11.83624707781021</v>
      </c>
      <c r="J36" s="83">
        <v>0.26250000000000001</v>
      </c>
      <c r="K36" s="83">
        <v>27.71285720629421</v>
      </c>
      <c r="L36" s="83">
        <v>6.375</v>
      </c>
      <c r="M36" s="83">
        <v>0.61250000000000004</v>
      </c>
      <c r="N36" s="83">
        <v>0.22499999999999998</v>
      </c>
      <c r="O36" s="83">
        <v>0.53749999999999998</v>
      </c>
      <c r="P36" s="83">
        <v>1.2500000000000001E-2</v>
      </c>
      <c r="Q36" s="84"/>
      <c r="R36" s="72">
        <f t="shared" si="422"/>
        <v>99.875</v>
      </c>
      <c r="S36" s="106">
        <f t="shared" ca="1" si="2"/>
        <v>4.1774387983600265</v>
      </c>
      <c r="T36" s="104">
        <f t="shared" ca="1" si="135"/>
        <v>0.36213588920786915</v>
      </c>
      <c r="U36" s="107">
        <f t="shared" ca="1" si="423"/>
        <v>1815.7256416609684</v>
      </c>
      <c r="V36" s="107">
        <f t="shared" ca="1" si="424"/>
        <v>1741.8472721842475</v>
      </c>
      <c r="W36" s="105">
        <f t="shared" ca="1" si="4"/>
        <v>1745.9958293086556</v>
      </c>
      <c r="X36" s="102">
        <f t="shared" ca="1" si="5"/>
        <v>2037.5359633500641</v>
      </c>
      <c r="Y36" s="102">
        <f t="shared" ca="1" si="6"/>
        <v>1906.1208084589214</v>
      </c>
      <c r="Z36" s="103">
        <f t="shared" ca="1" si="7"/>
        <v>1987.4926362743802</v>
      </c>
      <c r="AA36" s="103">
        <f t="shared" ca="1" si="8"/>
        <v>1946.6796812220293</v>
      </c>
      <c r="AB36" s="103">
        <f t="shared" ca="1" si="136"/>
        <v>77.877934061931015</v>
      </c>
      <c r="AC36" s="4">
        <v>13.3</v>
      </c>
      <c r="AD36" s="273">
        <f t="shared" ca="1" si="9"/>
        <v>13.523372414782981</v>
      </c>
      <c r="AE36" s="3">
        <f t="shared" ca="1" si="10"/>
        <v>125.82351430765458</v>
      </c>
      <c r="AF36" s="3">
        <f t="shared" ca="1" si="11"/>
        <v>215.07479686899768</v>
      </c>
      <c r="AG36" s="2">
        <f t="shared" ca="1" si="12"/>
        <v>585.02212318393515</v>
      </c>
      <c r="AH36" s="2">
        <f t="shared" ca="1" si="13"/>
        <v>261.32546964796751</v>
      </c>
      <c r="AI36" s="87">
        <f t="shared" si="14"/>
        <v>0.52632628498832446</v>
      </c>
      <c r="AJ36" s="87">
        <f t="shared" ca="1" si="15"/>
        <v>4.1774387983600381</v>
      </c>
      <c r="AK36" s="87">
        <f t="shared" ca="1" si="16"/>
        <v>0.30859420874798926</v>
      </c>
      <c r="AL36" s="86">
        <f t="shared" ca="1" si="17"/>
        <v>0.27705307519583733</v>
      </c>
      <c r="AM36" s="87">
        <f t="shared" ca="1" si="18"/>
        <v>0.36213588920786915</v>
      </c>
      <c r="AN36" s="87">
        <f t="shared" ca="1" si="19"/>
        <v>0.36213588920786999</v>
      </c>
      <c r="AO36" s="96">
        <f t="shared" ca="1" si="425"/>
        <v>41.547000397283249</v>
      </c>
      <c r="AP36" s="96">
        <f t="shared" ca="1" si="426"/>
        <v>6.18489644990896</v>
      </c>
      <c r="AQ36" s="96">
        <f t="shared" ca="1" si="427"/>
        <v>52.268103152807782</v>
      </c>
      <c r="AR36" s="73"/>
      <c r="AS36" s="53">
        <f t="shared" ca="1" si="138"/>
        <v>84.511233270936955</v>
      </c>
      <c r="AT36" s="68">
        <f t="shared" ca="1" si="139"/>
        <v>93.776052586580974</v>
      </c>
      <c r="AU36" s="74">
        <f t="shared" ca="1" si="23"/>
        <v>0.36213588920786999</v>
      </c>
      <c r="AV36" s="68">
        <f t="shared" si="428"/>
        <v>1.6950571697749834</v>
      </c>
      <c r="AW36" s="68">
        <f t="shared" ca="1" si="25"/>
        <v>1.7131611052071933</v>
      </c>
      <c r="AX36" s="69">
        <f t="shared" ca="1" si="429"/>
        <v>1832.796422063826</v>
      </c>
      <c r="AY36" s="69">
        <f t="shared" ca="1" si="430"/>
        <v>1815.7256416609675</v>
      </c>
      <c r="AZ36" s="69">
        <f t="shared" ca="1" si="28"/>
        <v>1741.8472721842472</v>
      </c>
      <c r="BA36" s="75"/>
      <c r="BB36" s="74">
        <f t="shared" ca="1" si="431"/>
        <v>0.4466933117430244</v>
      </c>
      <c r="BC36" s="74">
        <f t="shared" ca="1" si="432"/>
        <v>1.5294489002423355E-2</v>
      </c>
      <c r="BD36" s="68">
        <f t="shared" si="29"/>
        <v>0.4405685344803566</v>
      </c>
      <c r="BE36" s="68">
        <f t="shared" ca="1" si="30"/>
        <v>0.52090853801573034</v>
      </c>
      <c r="BF36" s="68">
        <f t="shared" ca="1" si="31"/>
        <v>0.32601731023708025</v>
      </c>
      <c r="BH36" s="68">
        <f t="shared" ca="1" si="32"/>
        <v>0.46797497314996955</v>
      </c>
      <c r="BI36" s="68">
        <f t="shared" ca="1" si="33"/>
        <v>0.49927886423893442</v>
      </c>
      <c r="BK36" s="53">
        <f t="shared" ca="1" si="142"/>
        <v>0.88334299431996999</v>
      </c>
      <c r="BL36" s="53">
        <f t="shared" si="34"/>
        <v>0.58877006634928863</v>
      </c>
      <c r="BM36" s="53">
        <f t="shared" si="143"/>
        <v>0.70548930755877881</v>
      </c>
      <c r="BN36" s="53">
        <f t="shared" si="35"/>
        <v>1.175335357384794</v>
      </c>
      <c r="BO36" s="53">
        <f t="shared" si="36"/>
        <v>0.719879701898538</v>
      </c>
      <c r="BP36" s="53">
        <f t="shared" si="37"/>
        <v>0.62172124668785278</v>
      </c>
      <c r="BQ36" s="54">
        <f t="shared" si="38"/>
        <v>1573.3133231077461</v>
      </c>
      <c r="BR36" s="262">
        <f t="shared" si="39"/>
        <v>12.9298994900757</v>
      </c>
      <c r="BS36" s="54">
        <f t="shared" si="144"/>
        <v>1995.464802156434</v>
      </c>
      <c r="BT36" s="67"/>
      <c r="BU36" s="73">
        <f t="shared" si="40"/>
        <v>0.79208381684246987</v>
      </c>
      <c r="BV36" s="73">
        <f t="shared" si="41"/>
        <v>2.9724655819774715E-3</v>
      </c>
      <c r="BW36" s="73">
        <f t="shared" si="42"/>
        <v>8.77795213809337E-2</v>
      </c>
      <c r="BX36" s="73">
        <f t="shared" si="43"/>
        <v>0.16473551952415047</v>
      </c>
      <c r="BY36" s="73">
        <f t="shared" si="44"/>
        <v>3.7003101212292082E-3</v>
      </c>
      <c r="BZ36" s="73">
        <f t="shared" si="45"/>
        <v>0.68766395052839235</v>
      </c>
      <c r="CA36" s="73">
        <f t="shared" si="46"/>
        <v>0.11367689015691869</v>
      </c>
      <c r="CB36" s="73">
        <f t="shared" si="47"/>
        <v>1.9764440141981286E-2</v>
      </c>
      <c r="CC36" s="73">
        <f t="shared" si="48"/>
        <v>4.7770700636942673E-3</v>
      </c>
      <c r="CD36" s="73">
        <f t="shared" si="49"/>
        <v>7.0728337390617794E-3</v>
      </c>
      <c r="CE36" s="73">
        <f t="shared" si="50"/>
        <v>1.7613075947583488E-4</v>
      </c>
      <c r="CF36" s="73">
        <f t="shared" si="433"/>
        <v>1.8844029488402849</v>
      </c>
      <c r="CG36" s="73">
        <f t="shared" si="434"/>
        <v>0.42033675299114809</v>
      </c>
      <c r="CH36" s="73">
        <f t="shared" si="435"/>
        <v>1.5774044419781933E-3</v>
      </c>
      <c r="CI36" s="73">
        <f t="shared" si="436"/>
        <v>4.65821396824685E-2</v>
      </c>
      <c r="CJ36" s="73">
        <f t="shared" si="437"/>
        <v>8.7420537961656969E-2</v>
      </c>
      <c r="CK36" s="73">
        <f t="shared" si="438"/>
        <v>1.96365120501774E-3</v>
      </c>
      <c r="CL36" s="73">
        <f t="shared" si="439"/>
        <v>0.36492404713737064</v>
      </c>
      <c r="CM36" s="73">
        <f t="shared" si="440"/>
        <v>6.0325149791810015E-2</v>
      </c>
      <c r="CN36" s="73">
        <f t="shared" si="441"/>
        <v>1.0488436220153913E-2</v>
      </c>
      <c r="CO36" s="73">
        <f t="shared" si="442"/>
        <v>2.53505762482181E-3</v>
      </c>
      <c r="CP36" s="73">
        <f t="shared" si="443"/>
        <v>3.7533552701212881E-3</v>
      </c>
      <c r="CQ36" s="73">
        <f t="shared" si="444"/>
        <v>9.3467673452873103E-5</v>
      </c>
      <c r="CR36" s="73"/>
      <c r="CS36" s="73">
        <f t="shared" ca="1" si="55"/>
        <v>0.69152796932894889</v>
      </c>
      <c r="CT36" s="73">
        <f t="shared" ca="1" si="56"/>
        <v>8.6080674320236056E-2</v>
      </c>
      <c r="CU36" s="73">
        <f t="shared" ca="1" si="57"/>
        <v>1.2969752643376622</v>
      </c>
      <c r="CV36" s="73">
        <f t="shared" ca="1" si="58"/>
        <v>2.0745839079868471</v>
      </c>
      <c r="CW36" s="73">
        <f t="shared" ca="1" si="59"/>
        <v>0.33333333333333326</v>
      </c>
      <c r="CX36" s="73">
        <f t="shared" ca="1" si="60"/>
        <v>4.1492982756126638E-2</v>
      </c>
      <c r="CY36" s="73">
        <f t="shared" ca="1" si="61"/>
        <v>0.62517368391054007</v>
      </c>
      <c r="CZ36" s="73">
        <f t="shared" si="62"/>
        <v>0.51463338609585541</v>
      </c>
      <c r="DA36" s="73">
        <f t="shared" si="63"/>
        <v>0.42033675299114809</v>
      </c>
      <c r="DB36" s="73">
        <f t="shared" si="64"/>
        <v>-0.17800755982282515</v>
      </c>
      <c r="DC36" s="73"/>
      <c r="DD36" s="73">
        <f t="shared" ca="1" si="445"/>
        <v>1832.796422063826</v>
      </c>
      <c r="DE36" s="73">
        <f t="shared" ca="1" si="446"/>
        <v>15667.860875259756</v>
      </c>
      <c r="DF36" s="73">
        <f t="shared" si="67"/>
        <v>7.4398193188149913</v>
      </c>
      <c r="DG36" s="73">
        <f t="shared" si="447"/>
        <v>1828.3919567214389</v>
      </c>
      <c r="DH36" s="73">
        <f t="shared" si="448"/>
        <v>1555.2419567214388</v>
      </c>
      <c r="DI36" s="73">
        <f t="shared" si="449"/>
        <v>13602.905801982104</v>
      </c>
      <c r="DJ36" s="73">
        <f t="shared" si="70"/>
        <v>7.4398193188149913</v>
      </c>
      <c r="DK36" s="73">
        <f t="shared" si="450"/>
        <v>1828.3919567214389</v>
      </c>
      <c r="DL36" s="73">
        <f t="shared" ca="1" si="72"/>
        <v>4.1774387983600265</v>
      </c>
      <c r="DM36" s="73">
        <f t="shared" si="73"/>
        <v>-0.17800755982282515</v>
      </c>
      <c r="DN36" s="73">
        <f t="shared" si="74"/>
        <v>0.51463338609585541</v>
      </c>
      <c r="DO36" s="73">
        <f t="shared" si="75"/>
        <v>0.42033675299114809</v>
      </c>
      <c r="DP36" s="73">
        <f t="shared" si="76"/>
        <v>1.6950571697749834</v>
      </c>
      <c r="DQ36" s="73">
        <f t="shared" ca="1" si="77"/>
        <v>15667.907998029355</v>
      </c>
      <c r="DR36" s="73">
        <f t="shared" si="451"/>
        <v>7.4395960916428558</v>
      </c>
      <c r="DS36" s="73">
        <f t="shared" ca="1" si="452"/>
        <v>1832.8659456276978</v>
      </c>
      <c r="DT36" s="73">
        <f t="shared" si="453"/>
        <v>1555.3161240253016</v>
      </c>
      <c r="DU36" s="73">
        <f t="shared" ca="1" si="454"/>
        <v>1745.9958293086556</v>
      </c>
      <c r="DV36" s="76">
        <f t="shared" ca="1" si="82"/>
        <v>1.713161105207194</v>
      </c>
      <c r="DW36" s="73">
        <f t="shared" ca="1" si="83"/>
        <v>2.6535021384936535</v>
      </c>
      <c r="DX36" s="73">
        <f t="shared" ca="1" si="455"/>
        <v>4660.1351034016543</v>
      </c>
      <c r="DY36" s="73">
        <f t="shared" ca="1" si="456"/>
        <v>1756.2205945864175</v>
      </c>
      <c r="DZ36" s="73">
        <f t="shared" ca="1" si="85"/>
        <v>2.6424058567952446</v>
      </c>
      <c r="EA36" s="73"/>
      <c r="EB36" s="73">
        <f t="shared" si="86"/>
        <v>0.79208381684246987</v>
      </c>
      <c r="EC36" s="73">
        <f t="shared" si="87"/>
        <v>2.9724655819774715E-3</v>
      </c>
      <c r="ED36" s="73">
        <f t="shared" si="88"/>
        <v>4.388976069046685E-2</v>
      </c>
      <c r="EE36" s="73">
        <f t="shared" si="89"/>
        <v>0.16473551952415047</v>
      </c>
      <c r="EF36" s="73">
        <f t="shared" si="90"/>
        <v>3.7003101212292082E-3</v>
      </c>
      <c r="EG36" s="73">
        <f t="shared" si="91"/>
        <v>0.68766395052839235</v>
      </c>
      <c r="EH36" s="73">
        <f t="shared" si="92"/>
        <v>0.11367689015691869</v>
      </c>
      <c r="EI36" s="73">
        <f t="shared" si="93"/>
        <v>9.8822200709906428E-3</v>
      </c>
      <c r="EJ36" s="73">
        <f t="shared" si="94"/>
        <v>2.3885350318471337E-3</v>
      </c>
      <c r="EK36" s="73">
        <f t="shared" si="95"/>
        <v>3.5364168695308897E-3</v>
      </c>
      <c r="EL36" s="73">
        <f t="shared" si="96"/>
        <v>8.8065379737917439E-5</v>
      </c>
      <c r="EM36" s="73">
        <f t="shared" si="457"/>
        <v>1.8246179507977116</v>
      </c>
      <c r="EN36" s="73">
        <f t="shared" si="458"/>
        <v>0.434109407120639</v>
      </c>
      <c r="EO36" s="73">
        <f t="shared" si="459"/>
        <v>1.6290893009563608E-3</v>
      </c>
      <c r="EP36" s="73">
        <f t="shared" si="460"/>
        <v>2.4054219499089396E-2</v>
      </c>
      <c r="EQ36" s="73">
        <f t="shared" si="461"/>
        <v>9.0284938527612935E-2</v>
      </c>
      <c r="ER36" s="73">
        <f t="shared" si="462"/>
        <v>2.027991733618238E-3</v>
      </c>
      <c r="ES36" s="73">
        <f t="shared" si="463"/>
        <v>0.37688106171911218</v>
      </c>
      <c r="ET36" s="73">
        <f t="shared" si="464"/>
        <v>6.230174930988696E-2</v>
      </c>
      <c r="EU36" s="73">
        <f t="shared" si="465"/>
        <v>5.4160489140590764E-3</v>
      </c>
      <c r="EV36" s="73">
        <f t="shared" si="466"/>
        <v>1.3090603601717723E-3</v>
      </c>
      <c r="EW36" s="73">
        <f t="shared" si="467"/>
        <v>1.938168408342574E-3</v>
      </c>
      <c r="EX36" s="73">
        <f t="shared" si="468"/>
        <v>4.8265106511429315E-5</v>
      </c>
      <c r="EY36" s="73">
        <f t="shared" si="469"/>
        <v>1</v>
      </c>
      <c r="EZ36" s="73">
        <f t="shared" si="100"/>
        <v>4.65821396824685E-2</v>
      </c>
      <c r="FA36" s="73">
        <f t="shared" si="101"/>
        <v>0.46849629711559476</v>
      </c>
      <c r="FB36" s="73">
        <f t="shared" si="102"/>
        <v>1.4407103594971129</v>
      </c>
      <c r="FC36" s="73">
        <f t="shared" si="470"/>
        <v>1.0074355305318468</v>
      </c>
      <c r="FD36" s="73">
        <f t="shared" si="471"/>
        <v>2.1503596436820427</v>
      </c>
      <c r="FE36" s="73">
        <f t="shared" ca="1" si="105"/>
        <v>0.15354966544206561</v>
      </c>
      <c r="FF36" s="73">
        <f t="shared" ca="1" si="472"/>
        <v>1.0606096857226027E-2</v>
      </c>
      <c r="FG36" s="73">
        <f t="shared" ca="1" si="473"/>
        <v>6.9072744813160877E-2</v>
      </c>
      <c r="FH36" s="73">
        <f t="shared" ca="1" si="474"/>
        <v>0.18327465035810289</v>
      </c>
      <c r="FI36" s="73">
        <f t="shared" ca="1" si="147"/>
        <v>6.6370328476692761E-2</v>
      </c>
      <c r="FJ36" s="73">
        <f t="shared" ca="1" si="475"/>
        <v>0.36213588920786838</v>
      </c>
      <c r="FK36" s="73">
        <f t="shared" ca="1" si="476"/>
        <v>6.6370328476692761E-2</v>
      </c>
      <c r="FL36" s="73">
        <f t="shared" ca="1" si="109"/>
        <v>6.63703284766929E-2</v>
      </c>
      <c r="FM36" s="73"/>
      <c r="FN36" s="73"/>
      <c r="FO36" s="73"/>
      <c r="FP36" s="73">
        <f t="shared" ca="1" si="477"/>
        <v>1.8755210517316196</v>
      </c>
      <c r="FQ36" s="73">
        <f t="shared" ca="1" si="478"/>
        <v>0.12447894826838035</v>
      </c>
      <c r="FR36" s="73">
        <f t="shared" si="479"/>
        <v>0.33333333333333331</v>
      </c>
      <c r="FS36" s="73">
        <f t="shared" ca="1" si="480"/>
        <v>4.1492982756126784E-2</v>
      </c>
      <c r="FT36" s="73">
        <f t="shared" ca="1" si="481"/>
        <v>0.62517368391053985</v>
      </c>
      <c r="FU36" s="73">
        <f t="shared" si="482"/>
        <v>20.026666666666664</v>
      </c>
      <c r="FV36" s="73">
        <f t="shared" ca="1" si="483"/>
        <v>2.9812708110277093</v>
      </c>
      <c r="FW36" s="73">
        <f t="shared" ca="1" si="484"/>
        <v>25.194499461594756</v>
      </c>
      <c r="FX36" s="73">
        <f t="shared" ca="1" si="485"/>
        <v>48.202436939289129</v>
      </c>
      <c r="FY36" s="73">
        <f t="shared" ca="1" si="486"/>
        <v>41.547000397283249</v>
      </c>
      <c r="FZ36" s="73">
        <f t="shared" ca="1" si="487"/>
        <v>6.1848964499089831</v>
      </c>
      <c r="GA36" s="73">
        <f t="shared" ca="1" si="488"/>
        <v>52.268103152807761</v>
      </c>
      <c r="GB36" s="73">
        <f t="shared" ca="1" si="489"/>
        <v>93.776052586580974</v>
      </c>
      <c r="GC36" s="73">
        <f t="shared" ca="1" si="119"/>
        <v>4177438798.3600264</v>
      </c>
      <c r="GD36" s="2">
        <f t="shared" si="152"/>
        <v>38</v>
      </c>
      <c r="GE36">
        <f t="shared" ca="1" si="153"/>
        <v>1586.1318634412974</v>
      </c>
      <c r="GF36">
        <f t="shared" ca="1" si="120"/>
        <v>1586.1117382607688</v>
      </c>
      <c r="GG36">
        <f t="shared" ca="1" si="121"/>
        <v>1882.3781219298171</v>
      </c>
      <c r="GH36" s="2">
        <f t="shared" ca="1" si="122"/>
        <v>0.7750251667320297</v>
      </c>
      <c r="GI36" s="2">
        <f t="shared" ca="1" si="123"/>
        <v>0.93341348289527182</v>
      </c>
      <c r="GJ36" s="2">
        <f t="shared" ca="1" si="124"/>
        <v>-1.0845050073380653</v>
      </c>
      <c r="GK36" s="2">
        <f t="shared" ca="1" si="125"/>
        <v>1.1559140856444325</v>
      </c>
      <c r="GL36" s="2">
        <f t="shared" ca="1" si="154"/>
        <v>-0.7750251667320297</v>
      </c>
      <c r="GM36">
        <f t="shared" ca="1" si="155"/>
        <v>0.31274094987011775</v>
      </c>
      <c r="GN36">
        <f t="shared" ca="1" si="156"/>
        <v>3.0588223349537254E-2</v>
      </c>
      <c r="GO36">
        <f t="shared" ca="1" si="157"/>
        <v>-0.12627089802244951</v>
      </c>
      <c r="GP36">
        <f t="shared" ca="1" si="158"/>
        <v>-0.3352434131382464</v>
      </c>
      <c r="GQ36">
        <f t="shared" ca="1" si="159"/>
        <v>0.26917037476733846</v>
      </c>
      <c r="GR36">
        <f t="shared" ca="1" si="160"/>
        <v>9.7806901725663489E-2</v>
      </c>
      <c r="GS36">
        <f t="shared" ca="1" si="161"/>
        <v>0.23956073846533416</v>
      </c>
      <c r="GT36">
        <f t="shared" ca="1" si="162"/>
        <v>5.0321637674447302E-3</v>
      </c>
      <c r="GU36">
        <f t="shared" ca="1" si="163"/>
        <v>0.78805359190932289</v>
      </c>
      <c r="GV36">
        <f t="shared" ca="1" si="164"/>
        <v>-0.21745154745946899</v>
      </c>
      <c r="GW36">
        <f t="shared" ca="1" si="165"/>
        <v>0.88334299431997154</v>
      </c>
      <c r="GY36" s="15">
        <f t="shared" si="166"/>
        <v>0.22010510586386448</v>
      </c>
      <c r="GZ36" s="2">
        <f t="shared" si="167"/>
        <v>2.7621477208388333E-2</v>
      </c>
      <c r="HA36" s="2">
        <f t="shared" si="168"/>
        <v>7.6815446469743684E-2</v>
      </c>
      <c r="HB36" s="2">
        <f t="shared" si="169"/>
        <v>0.32454202954199651</v>
      </c>
      <c r="HC36" s="2">
        <f t="shared" si="170"/>
        <v>0.67820216128704014</v>
      </c>
      <c r="HD36" s="2">
        <f t="shared" si="171"/>
        <v>8.5109091255048203E-2</v>
      </c>
      <c r="HE36" s="2">
        <f t="shared" si="172"/>
        <v>0.23668874745791155</v>
      </c>
      <c r="HF36" s="2">
        <f t="shared" si="127"/>
        <v>-1.2882270431787481</v>
      </c>
      <c r="HG36" s="2">
        <f t="shared" si="128"/>
        <v>-1.2898794576557395</v>
      </c>
      <c r="HH36" s="2">
        <f t="shared" si="173"/>
        <v>-1.2890532504172438</v>
      </c>
      <c r="HI36" s="2">
        <f t="shared" si="129"/>
        <v>2.6171830246674452</v>
      </c>
      <c r="HJ36" s="2">
        <f t="shared" si="130"/>
        <v>0.15866795143968915</v>
      </c>
      <c r="HK36" s="2">
        <f t="shared" si="131"/>
        <v>0.35416053979779227</v>
      </c>
      <c r="HL36" s="2">
        <f t="shared" si="132"/>
        <v>0.67757963713306979</v>
      </c>
    </row>
    <row r="37" spans="1:220" ht="20.25">
      <c r="A37" s="89" t="s">
        <v>153</v>
      </c>
      <c r="B37" s="77">
        <v>0</v>
      </c>
      <c r="C37" s="95">
        <f t="shared" ref="C37:C40" ca="1" si="490">E37</f>
        <v>-3.8139836931560511</v>
      </c>
      <c r="D37" s="70">
        <f t="shared" ca="1" si="0"/>
        <v>-3.7891644638229307</v>
      </c>
      <c r="E37" s="71">
        <f t="shared" ca="1" si="1"/>
        <v>-3.8139836931560511</v>
      </c>
      <c r="F37" s="83">
        <v>47.985472539955701</v>
      </c>
      <c r="G37" s="83">
        <v>1.5549933062780077</v>
      </c>
      <c r="H37" s="83">
        <v>9.5796009293915958</v>
      </c>
      <c r="I37" s="83">
        <v>12.050851708087523</v>
      </c>
      <c r="J37" s="83">
        <v>0.13835530384678599</v>
      </c>
      <c r="K37" s="83">
        <v>19.645448516708125</v>
      </c>
      <c r="L37" s="83">
        <v>7.4805092864650904</v>
      </c>
      <c r="M37" s="83">
        <v>1.3910723484595333</v>
      </c>
      <c r="N37" s="83">
        <v>0.17369606080764979</v>
      </c>
      <c r="O37" s="83"/>
      <c r="P37" s="83"/>
      <c r="Q37" s="84"/>
      <c r="R37" s="72">
        <f t="shared" ref="R37:R40" si="491">SUM(F37:P37)</f>
        <v>100</v>
      </c>
      <c r="S37" s="106">
        <f t="shared" ca="1" si="2"/>
        <v>2.4476364600720411</v>
      </c>
      <c r="T37" s="104">
        <f t="shared" ca="1" si="135"/>
        <v>0.34865596746707106</v>
      </c>
      <c r="U37" s="107">
        <f t="shared" ref="U37:U40" ca="1" si="492">AY37</f>
        <v>1572.8845996743082</v>
      </c>
      <c r="V37" s="107">
        <f t="shared" ref="V37:V40" ca="1" si="493">AZ37</f>
        <v>1542.8545302736272</v>
      </c>
      <c r="W37" s="105">
        <f t="shared" ca="1" si="4"/>
        <v>1548.9864046770456</v>
      </c>
      <c r="X37" s="102">
        <f t="shared" ca="1" si="5"/>
        <v>1670.7692845869819</v>
      </c>
      <c r="Y37" s="102">
        <f t="shared" ca="1" si="6"/>
        <v>1578.2768263954165</v>
      </c>
      <c r="Z37" s="103">
        <f t="shared" ca="1" si="7"/>
        <v>1644.1333088274553</v>
      </c>
      <c r="AA37" s="103">
        <f t="shared" ca="1" si="8"/>
        <v>1620.1257620615402</v>
      </c>
      <c r="AB37" s="103">
        <f t="shared" ca="1" si="136"/>
        <v>53.322259447638451</v>
      </c>
      <c r="AC37" s="4">
        <v>13.3</v>
      </c>
      <c r="AD37" s="273">
        <f t="shared" ca="1" si="9"/>
        <v>12.055951604494036</v>
      </c>
      <c r="AE37" s="3">
        <f t="shared" ca="1" si="10"/>
        <v>114.96594038871244</v>
      </c>
      <c r="AF37" s="3">
        <f t="shared" ca="1" si="11"/>
        <v>213.69184110614412</v>
      </c>
      <c r="AG37" s="2">
        <f t="shared" ca="1" si="12"/>
        <v>537.9987359068474</v>
      </c>
      <c r="AH37" s="2">
        <f t="shared" ca="1" si="13"/>
        <v>106.77981849593648</v>
      </c>
      <c r="AI37" s="87">
        <f t="shared" si="14"/>
        <v>0.37807970389816425</v>
      </c>
      <c r="AJ37" s="87">
        <f t="shared" ca="1" si="15"/>
        <v>2.4476364600720411</v>
      </c>
      <c r="AK37" s="87">
        <f t="shared" ca="1" si="16"/>
        <v>0.28422820717771641</v>
      </c>
      <c r="AL37" s="86">
        <f t="shared" ca="1" si="17"/>
        <v>0.28066882050913683</v>
      </c>
      <c r="AM37" s="87">
        <f t="shared" ca="1" si="18"/>
        <v>0.34865596746707106</v>
      </c>
      <c r="AN37" s="87">
        <f t="shared" ca="1" si="19"/>
        <v>0.348655967467071</v>
      </c>
      <c r="AO37" s="96">
        <f t="shared" ref="AO37:AO40" ca="1" si="494">FY37</f>
        <v>41.084058238067776</v>
      </c>
      <c r="AP37" s="96">
        <f t="shared" ref="AP37:AP40" ca="1" si="495">FZ37</f>
        <v>8.653529718368496</v>
      </c>
      <c r="AQ37" s="96">
        <f t="shared" ref="AQ37:AQ40" ca="1" si="496">GA37</f>
        <v>50.262412043563735</v>
      </c>
      <c r="AR37" s="73"/>
      <c r="AS37" s="53">
        <f t="shared" ca="1" si="138"/>
        <v>78.31043779232715</v>
      </c>
      <c r="AT37" s="68">
        <f t="shared" ca="1" si="139"/>
        <v>91.193707443763614</v>
      </c>
      <c r="AU37" s="74">
        <f t="shared" ca="1" si="23"/>
        <v>0.348655967467071</v>
      </c>
      <c r="AV37" s="68">
        <f t="shared" ref="AV37:AV40" si="497">(0.666-(-0.049*CK37+0.027*CJ37))/(1*CL37+0.259*CK37+0.299*CJ37)</f>
        <v>2.2753771042836499</v>
      </c>
      <c r="AW37" s="68">
        <f t="shared" ca="1" si="25"/>
        <v>2.3012082977580359</v>
      </c>
      <c r="AX37" s="69">
        <f t="shared" ref="AX37:AX40" ca="1" si="498">(DE37/DF37)-273.15</f>
        <v>1580.0995487278115</v>
      </c>
      <c r="AY37" s="69">
        <f t="shared" ref="AY37:AY40" ca="1" si="499">(DK37-273.15)+54*DL37+2*DL37^2</f>
        <v>1572.8845996743082</v>
      </c>
      <c r="AZ37" s="69">
        <f t="shared" ca="1" si="28"/>
        <v>1542.8545302736272</v>
      </c>
      <c r="BA37" s="75"/>
      <c r="BB37" s="74">
        <f t="shared" ref="BB37:BB40" ca="1" si="500">AVERAGE(BD37:BF37,BI37)</f>
        <v>0.19847596540528867</v>
      </c>
      <c r="BC37" s="74">
        <f t="shared" ref="BC37:BC40" ca="1" si="501">STDEV(BE37,BI37)</f>
        <v>6.5945244124079082E-3</v>
      </c>
      <c r="BD37" s="68">
        <f t="shared" si="29"/>
        <v>0.10080952252817352</v>
      </c>
      <c r="BE37" s="68">
        <f t="shared" ca="1" si="30"/>
        <v>0.22289531915150801</v>
      </c>
      <c r="BF37" s="68">
        <f t="shared" ca="1" si="31"/>
        <v>0.23797763492853746</v>
      </c>
      <c r="BH37" s="68">
        <f t="shared" ca="1" si="32"/>
        <v>0.15715067276779543</v>
      </c>
      <c r="BI37" s="68">
        <f t="shared" ca="1" si="33"/>
        <v>0.23222138501293574</v>
      </c>
      <c r="BK37" s="53">
        <f t="shared" ca="1" si="142"/>
        <v>0.50627901722711122</v>
      </c>
      <c r="BL37" s="53">
        <f t="shared" si="34"/>
        <v>-4.9565606399841408E-3</v>
      </c>
      <c r="BM37" s="53" t="e">
        <f t="shared" si="143"/>
        <v>#NUM!</v>
      </c>
      <c r="BN37" s="53">
        <f t="shared" si="35"/>
        <v>0.35631395228562612</v>
      </c>
      <c r="BO37" s="53">
        <f t="shared" si="36"/>
        <v>0.5335282349274072</v>
      </c>
      <c r="BP37" s="53">
        <f t="shared" si="37"/>
        <v>0.53741824956209017</v>
      </c>
      <c r="BQ37" s="54">
        <f t="shared" si="38"/>
        <v>1437.5979602200573</v>
      </c>
      <c r="BR37" s="262">
        <f t="shared" si="39"/>
        <v>4.6105055829220021</v>
      </c>
      <c r="BS37" s="54">
        <f t="shared" si="144"/>
        <v>1645.2807694372323</v>
      </c>
      <c r="BT37" s="67"/>
      <c r="BU37" s="73">
        <f t="shared" si="40"/>
        <v>0.79869295173028798</v>
      </c>
      <c r="BV37" s="73">
        <f t="shared" si="41"/>
        <v>1.9461743507859921E-2</v>
      </c>
      <c r="BW37" s="73">
        <f t="shared" si="42"/>
        <v>0.18790900214577475</v>
      </c>
      <c r="BX37" s="73">
        <f t="shared" si="43"/>
        <v>0.16772236197755774</v>
      </c>
      <c r="BY37" s="73">
        <f t="shared" si="44"/>
        <v>1.9503144043809698E-3</v>
      </c>
      <c r="BZ37" s="73">
        <f t="shared" si="45"/>
        <v>0.48748011207712472</v>
      </c>
      <c r="CA37" s="73">
        <f t="shared" si="46"/>
        <v>0.13338996587847879</v>
      </c>
      <c r="CB37" s="73">
        <f t="shared" si="47"/>
        <v>4.4887781492724536E-2</v>
      </c>
      <c r="CC37" s="73">
        <f t="shared" si="48"/>
        <v>3.6878144545148574E-3</v>
      </c>
      <c r="CD37" s="73">
        <f t="shared" si="49"/>
        <v>0</v>
      </c>
      <c r="CE37" s="73">
        <f t="shared" si="50"/>
        <v>0</v>
      </c>
      <c r="CF37" s="73">
        <f t="shared" ref="CF37:CF40" si="502">SUM(BU37:CE37)</f>
        <v>1.8451820476687042</v>
      </c>
      <c r="CG37" s="73">
        <f t="shared" ref="CG37:CG40" si="503">BU37/$CF37</f>
        <v>0.43285319881547557</v>
      </c>
      <c r="CH37" s="73">
        <f t="shared" ref="CH37:CH40" si="504">BV37/$CF37</f>
        <v>1.0547329751256178E-2</v>
      </c>
      <c r="CI37" s="73">
        <f t="shared" ref="CI37:CI40" si="505">BW37/$CF37</f>
        <v>0.10183764923530902</v>
      </c>
      <c r="CJ37" s="73">
        <f t="shared" ref="CJ37:CJ40" si="506">BX37/$CF37</f>
        <v>9.089746032889634E-2</v>
      </c>
      <c r="CK37" s="73">
        <f t="shared" ref="CK37:CK40" si="507">BY37/$CF37</f>
        <v>1.0569766852246882E-3</v>
      </c>
      <c r="CL37" s="73">
        <f t="shared" ref="CL37:CL40" si="508">BZ37/$CF37</f>
        <v>0.26419079499122139</v>
      </c>
      <c r="CM37" s="73">
        <f t="shared" ref="CM37:CM40" si="509">CA37/$CF37</f>
        <v>7.2290951479291918E-2</v>
      </c>
      <c r="CN37" s="73">
        <f t="shared" ref="CN37:CN40" si="510">CB37/$CF37</f>
        <v>2.4327020496128293E-2</v>
      </c>
      <c r="CO37" s="73">
        <f t="shared" ref="CO37:CO40" si="511">CC37/$CF37</f>
        <v>1.9986182171966324E-3</v>
      </c>
      <c r="CP37" s="73">
        <f t="shared" ref="CP37:CP40" si="512">CD37/CF37</f>
        <v>0</v>
      </c>
      <c r="CQ37" s="73">
        <f t="shared" ref="CQ37:CQ40" si="513">CE37/CF37</f>
        <v>0</v>
      </c>
      <c r="CR37" s="73"/>
      <c r="CS37" s="73">
        <f t="shared" ca="1" si="55"/>
        <v>0.68382254058035585</v>
      </c>
      <c r="CT37" s="73">
        <f t="shared" ca="1" si="56"/>
        <v>0.12043882697798881</v>
      </c>
      <c r="CU37" s="73">
        <f t="shared" ca="1" si="57"/>
        <v>1.2472062541827231</v>
      </c>
      <c r="CV37" s="73">
        <f t="shared" ca="1" si="58"/>
        <v>2.0514676217410677</v>
      </c>
      <c r="CW37" s="73">
        <f t="shared" ca="1" si="59"/>
        <v>0.33333333333333331</v>
      </c>
      <c r="CX37" s="73">
        <f t="shared" ca="1" si="60"/>
        <v>5.8708617041575893E-2</v>
      </c>
      <c r="CY37" s="73">
        <f t="shared" ca="1" si="61"/>
        <v>0.60795804962509081</v>
      </c>
      <c r="CZ37" s="73">
        <f t="shared" si="62"/>
        <v>0.42843618348463436</v>
      </c>
      <c r="DA37" s="73">
        <f t="shared" si="63"/>
        <v>0.43285319881547557</v>
      </c>
      <c r="DB37" s="73">
        <f t="shared" si="64"/>
        <v>-0.45013895382599189</v>
      </c>
      <c r="DC37" s="73"/>
      <c r="DD37" s="73">
        <f t="shared" ref="DD37:DD40" ca="1" si="514">(DE37/DF37)-273.15</f>
        <v>1580.0995487278115</v>
      </c>
      <c r="DE37" s="73">
        <f t="shared" ref="DE37:DE40" ca="1" si="515">113.1*1000/8.3144+(DL37*10^9-10^5)*4.11*(10^-6)/8.3144</f>
        <v>14812.779617398261</v>
      </c>
      <c r="DF37" s="73">
        <f t="shared" si="67"/>
        <v>7.9928683255672155</v>
      </c>
      <c r="DG37" s="73">
        <f t="shared" ref="DG37:DG40" si="516">DI37/DJ37</f>
        <v>1701.88038234907</v>
      </c>
      <c r="DH37" s="73">
        <f t="shared" si="448"/>
        <v>1428.7303823490702</v>
      </c>
      <c r="DI37" s="73">
        <f t="shared" si="449"/>
        <v>13602.905801982104</v>
      </c>
      <c r="DJ37" s="73">
        <f t="shared" si="70"/>
        <v>7.9928683255672155</v>
      </c>
      <c r="DK37" s="73">
        <f t="shared" ref="DK37:DK40" si="517">DI37/DJ37</f>
        <v>1701.88038234907</v>
      </c>
      <c r="DL37" s="73">
        <f t="shared" ca="1" si="72"/>
        <v>2.4476364600720411</v>
      </c>
      <c r="DM37" s="73">
        <f t="shared" si="73"/>
        <v>-0.45013895382599189</v>
      </c>
      <c r="DN37" s="73">
        <f t="shared" si="74"/>
        <v>0.42843618348463436</v>
      </c>
      <c r="DO37" s="73">
        <f t="shared" si="75"/>
        <v>0.43285319881547557</v>
      </c>
      <c r="DP37" s="73">
        <f t="shared" si="76"/>
        <v>2.2753771042836499</v>
      </c>
      <c r="DQ37" s="73">
        <f t="shared" ca="1" si="77"/>
        <v>14812.866702213605</v>
      </c>
      <c r="DR37" s="73">
        <f t="shared" ref="DR37:DR40" si="518">6.26+2*LN(DP37)+2*LN(1.5*DN37)+2*LN(3*DO37)-DM37</f>
        <v>7.9926450983950801</v>
      </c>
      <c r="DS37" s="73">
        <f t="shared" ref="DS37:DS40" ca="1" si="519">(DQ37/DR37)-273.15</f>
        <v>1580.1622038895512</v>
      </c>
      <c r="DT37" s="73">
        <f t="shared" ref="DT37:DT40" si="520">(13603+4.943*10^-7*(0.0001*10^9-10^-5))/(6.26+2*LN(DP37)+2*LN(1.5*DN37)+2*LN(3*DO37)-DM37)-273.15</f>
        <v>1428.7958843145034</v>
      </c>
      <c r="DU37" s="73">
        <f t="shared" ref="DU37:DU40" ca="1" si="521">DT37+54*DL37-2*DL37^2</f>
        <v>1548.9864046770456</v>
      </c>
      <c r="DV37" s="76">
        <f t="shared" ca="1" si="82"/>
        <v>2.3012082977580359</v>
      </c>
      <c r="DW37" s="73">
        <f t="shared" ca="1" si="83"/>
        <v>2.9113964277060616</v>
      </c>
      <c r="DX37" s="73">
        <f t="shared" ref="DX37:DX40" ca="1" si="522">55.09*DL37+4430</f>
        <v>4564.8402925853688</v>
      </c>
      <c r="DY37" s="73">
        <f t="shared" ref="DY37:DY40" ca="1" si="523">DX37/DW37</f>
        <v>1567.9212384629061</v>
      </c>
      <c r="DZ37" s="73">
        <f t="shared" ca="1" si="85"/>
        <v>3.4977246337804391</v>
      </c>
      <c r="EA37" s="73"/>
      <c r="EB37" s="73">
        <f t="shared" si="86"/>
        <v>0.79869295173028798</v>
      </c>
      <c r="EC37" s="73">
        <f t="shared" si="87"/>
        <v>1.9461743507859921E-2</v>
      </c>
      <c r="ED37" s="73">
        <f t="shared" si="88"/>
        <v>9.3954501072887373E-2</v>
      </c>
      <c r="EE37" s="73">
        <f t="shared" si="89"/>
        <v>0.16772236197755774</v>
      </c>
      <c r="EF37" s="73">
        <f t="shared" si="90"/>
        <v>1.9503144043809698E-3</v>
      </c>
      <c r="EG37" s="73">
        <f t="shared" si="91"/>
        <v>0.48748011207712472</v>
      </c>
      <c r="EH37" s="73">
        <f t="shared" si="92"/>
        <v>0.13338996587847879</v>
      </c>
      <c r="EI37" s="73">
        <f t="shared" si="93"/>
        <v>2.2443890746362268E-2</v>
      </c>
      <c r="EJ37" s="73">
        <f t="shared" si="94"/>
        <v>1.8439072272574287E-3</v>
      </c>
      <c r="EK37" s="73">
        <f t="shared" si="95"/>
        <v>0</v>
      </c>
      <c r="EL37" s="73">
        <f t="shared" si="96"/>
        <v>0</v>
      </c>
      <c r="EM37" s="73">
        <f t="shared" ref="EM37:EM40" si="524">SUM(EB37:EL37)</f>
        <v>1.7269397486221971</v>
      </c>
      <c r="EN37" s="73">
        <f t="shared" ref="EN37:EN40" si="525">EB37/$EM37</f>
        <v>0.46249034013346935</v>
      </c>
      <c r="EO37" s="73">
        <f t="shared" ref="EO37:EO40" si="526">EC37/$EM37</f>
        <v>1.1269497689995883E-2</v>
      </c>
      <c r="EP37" s="73">
        <f t="shared" ref="EP37:EP40" si="527">ED37/$EM37</f>
        <v>5.4405199224725129E-2</v>
      </c>
      <c r="EQ37" s="73">
        <f t="shared" ref="EQ37:EQ40" si="528">EE37/$EM37</f>
        <v>9.712114282584064E-2</v>
      </c>
      <c r="ER37" s="73">
        <f t="shared" ref="ER37:ER40" si="529">EF37/$EM37</f>
        <v>1.129347104284899E-3</v>
      </c>
      <c r="ES37" s="73">
        <f t="shared" ref="ES37:ES40" si="530">EG37/$EM37</f>
        <v>0.28227974511910481</v>
      </c>
      <c r="ET37" s="73">
        <f t="shared" ref="ET37:ET40" si="531">EH37/$EM37</f>
        <v>7.7240659950586696E-2</v>
      </c>
      <c r="EU37" s="73">
        <f t="shared" ref="EU37:EU40" si="532">EI37/$EM37</f>
        <v>1.2996336881045595E-2</v>
      </c>
      <c r="EV37" s="73">
        <f t="shared" ref="EV37:EV40" si="533">EJ37/$EM37</f>
        <v>1.067731070947062E-3</v>
      </c>
      <c r="EW37" s="73">
        <f t="shared" ref="EW37:EW40" si="534">EK37/$EM37</f>
        <v>0</v>
      </c>
      <c r="EX37" s="73">
        <f t="shared" ref="EX37:EX40" si="535">EL37/$EM37</f>
        <v>0</v>
      </c>
      <c r="EY37" s="73">
        <f t="shared" ref="EY37:EY40" si="536">SUM(EN37:EX37)</f>
        <v>1</v>
      </c>
      <c r="EZ37" s="73">
        <f t="shared" si="100"/>
        <v>0.10183764923530902</v>
      </c>
      <c r="FA37" s="73">
        <f t="shared" si="101"/>
        <v>0.54523817780204076</v>
      </c>
      <c r="FB37" s="73">
        <f t="shared" si="102"/>
        <v>1.4811565338277239</v>
      </c>
      <c r="FC37" s="73">
        <f t="shared" ref="FC37:FC40" si="537">(2*FB37-4*FA37)</f>
        <v>0.78136035644728485</v>
      </c>
      <c r="FD37" s="73">
        <f t="shared" ref="FD37:FD40" si="538">FC37/FA37</f>
        <v>1.4330624454749257</v>
      </c>
      <c r="FE37" s="73">
        <f t="shared" ca="1" si="105"/>
        <v>0.12111631572506794</v>
      </c>
      <c r="FF37" s="73">
        <f t="shared" ref="FF37:FF40" ca="1" si="539">EQ37*FE37/(1+2*FE37)</f>
        <v>9.4692046403114499E-3</v>
      </c>
      <c r="FG37" s="73">
        <f t="shared" ref="FG37:FG40" ca="1" si="540">EQ37-2*FF37</f>
        <v>7.8182733545217736E-2</v>
      </c>
      <c r="FH37" s="73">
        <f t="shared" ref="FH37:FH40" ca="1" si="541">FG37/ES37</f>
        <v>0.27696898164701617</v>
      </c>
      <c r="FI37" s="73">
        <f t="shared" ca="1" si="147"/>
        <v>9.6566888254509847E-2</v>
      </c>
      <c r="FJ37" s="73">
        <f t="shared" ref="FJ37:FJ40" ca="1" si="542">FI37/FH37</f>
        <v>0.348655967467071</v>
      </c>
      <c r="FK37" s="73">
        <f t="shared" ref="FK37:FK40" ca="1" si="543">FQ37/FP37</f>
        <v>9.6566888254509847E-2</v>
      </c>
      <c r="FL37" s="73">
        <f t="shared" ca="1" si="109"/>
        <v>9.6566888254509875E-2</v>
      </c>
      <c r="FM37" s="73"/>
      <c r="FN37" s="73"/>
      <c r="FO37" s="73"/>
      <c r="FP37" s="73">
        <f t="shared" ca="1" si="477"/>
        <v>1.8238741488752723</v>
      </c>
      <c r="FQ37" s="73">
        <f t="shared" ca="1" si="478"/>
        <v>0.17612585112472767</v>
      </c>
      <c r="FR37" s="73">
        <f t="shared" si="479"/>
        <v>0.33333333333333331</v>
      </c>
      <c r="FS37" s="73">
        <f t="shared" ref="FS37:FS40" ca="1" si="544">FQ37/3</f>
        <v>5.8708617041575893E-2</v>
      </c>
      <c r="FT37" s="73">
        <f t="shared" ref="FT37:FT40" ca="1" si="545">FP37/3</f>
        <v>0.60795804962509081</v>
      </c>
      <c r="FU37" s="73">
        <f t="shared" ref="FU37:FU40" si="546">60.08*FR37</f>
        <v>20.026666666666664</v>
      </c>
      <c r="FV37" s="73">
        <f t="shared" ref="FV37:FV40" ca="1" si="547">71.85*FS37</f>
        <v>4.2182141344372273</v>
      </c>
      <c r="FW37" s="73">
        <f t="shared" ref="FW37:FW40" ca="1" si="548">40.3*FT37</f>
        <v>24.500709399891157</v>
      </c>
      <c r="FX37" s="73">
        <f t="shared" ref="FX37:FX40" ca="1" si="549">SUM(FU37:FW37)</f>
        <v>48.745590200995046</v>
      </c>
      <c r="FY37" s="73">
        <f t="shared" ref="FY37:FY40" ca="1" si="550">100*FU37/$FX37</f>
        <v>41.084058238067776</v>
      </c>
      <c r="FZ37" s="73">
        <f t="shared" ref="FZ37:FZ40" ca="1" si="551">100*FV37/$FX37</f>
        <v>8.653529718368496</v>
      </c>
      <c r="GA37" s="73">
        <f t="shared" ref="GA37:GA40" ca="1" si="552">100*FW37/$FX37</f>
        <v>50.262412043563735</v>
      </c>
      <c r="GB37" s="73">
        <f t="shared" ref="GB37:GB40" ca="1" si="553">100*GA37/40.3/(GA37/40.3+FZ37/71.85)</f>
        <v>91.193707443763614</v>
      </c>
      <c r="GC37" s="73">
        <f t="shared" ca="1" si="119"/>
        <v>2447636460.072041</v>
      </c>
      <c r="GD37" s="2">
        <f t="shared" si="152"/>
        <v>38</v>
      </c>
      <c r="GE37">
        <f t="shared" ca="1" si="153"/>
        <v>1415.1529385055455</v>
      </c>
      <c r="GF37">
        <f t="shared" ca="1" si="120"/>
        <v>1414.7132082191742</v>
      </c>
      <c r="GG37">
        <f t="shared" ca="1" si="121"/>
        <v>1794.6682686530539</v>
      </c>
      <c r="GH37" s="2">
        <f t="shared" ca="1" si="122"/>
        <v>0.41628973509265627</v>
      </c>
      <c r="GI37" s="2">
        <f t="shared" ca="1" si="123"/>
        <v>1.4558137890582434</v>
      </c>
      <c r="GJ37" s="2">
        <f t="shared" ca="1" si="124"/>
        <v>-2.0739519448387931</v>
      </c>
      <c r="GK37" s="2">
        <f t="shared" ca="1" si="125"/>
        <v>1.6246905193204766</v>
      </c>
      <c r="GL37" s="2">
        <f t="shared" ca="1" si="154"/>
        <v>-0.41628973509265627</v>
      </c>
      <c r="GM37">
        <f t="shared" ca="1" si="155"/>
        <v>0.42550707764048895</v>
      </c>
      <c r="GN37">
        <f t="shared" ca="1" si="156"/>
        <v>7.7040725664683868E-2</v>
      </c>
      <c r="GO37">
        <f t="shared" ca="1" si="157"/>
        <v>-0.1906390982172986</v>
      </c>
      <c r="GP37">
        <f t="shared" ca="1" si="158"/>
        <v>-0.12811354843960332</v>
      </c>
      <c r="GQ37">
        <f t="shared" ca="1" si="159"/>
        <v>0.29868535407123453</v>
      </c>
      <c r="GR37">
        <f t="shared" ca="1" si="160"/>
        <v>0.18105627312214911</v>
      </c>
      <c r="GS37">
        <f t="shared" ca="1" si="161"/>
        <v>1.4515175886988585E-2</v>
      </c>
      <c r="GT37">
        <f t="shared" ca="1" si="162"/>
        <v>1.6275866220273889E-3</v>
      </c>
      <c r="GU37">
        <f t="shared" ca="1" si="163"/>
        <v>0.38572653721224565</v>
      </c>
      <c r="GV37">
        <f t="shared" ca="1" si="164"/>
        <v>-0.30495459762562344</v>
      </c>
      <c r="GW37">
        <f t="shared" ca="1" si="165"/>
        <v>0.50627901722711122</v>
      </c>
      <c r="GY37" s="15">
        <f t="shared" si="166"/>
        <v>0.19245665846899659</v>
      </c>
      <c r="GZ37" s="2">
        <f t="shared" si="167"/>
        <v>6.5674696914721012E-2</v>
      </c>
      <c r="HA37" s="2">
        <f t="shared" si="168"/>
        <v>9.0172622427474813E-2</v>
      </c>
      <c r="HB37" s="2">
        <f t="shared" si="169"/>
        <v>0.34830397781119243</v>
      </c>
      <c r="HC37" s="2">
        <f t="shared" si="170"/>
        <v>0.55255371953668275</v>
      </c>
      <c r="HD37" s="2">
        <f t="shared" si="171"/>
        <v>0.18855569014006998</v>
      </c>
      <c r="HE37" s="2">
        <f t="shared" si="172"/>
        <v>0.25889059032324724</v>
      </c>
      <c r="HF37" s="2">
        <f t="shared" si="127"/>
        <v>-1.2531281138652666</v>
      </c>
      <c r="HG37" s="2">
        <f t="shared" si="128"/>
        <v>-1.2566681018382713</v>
      </c>
      <c r="HH37" s="2">
        <f t="shared" si="173"/>
        <v>-1.2548981078517689</v>
      </c>
      <c r="HI37" s="2">
        <f t="shared" si="129"/>
        <v>2.7734686092637082</v>
      </c>
      <c r="HJ37" s="2">
        <f t="shared" si="130"/>
        <v>0.14141835931901453</v>
      </c>
      <c r="HK37" s="2">
        <f t="shared" si="131"/>
        <v>0.34379932795773199</v>
      </c>
      <c r="HL37" s="2">
        <f t="shared" si="132"/>
        <v>0.66551312672926244</v>
      </c>
    </row>
    <row r="38" spans="1:220" ht="20.25">
      <c r="A38" s="89" t="s">
        <v>153</v>
      </c>
      <c r="B38" s="77">
        <v>0</v>
      </c>
      <c r="C38" s="95">
        <f t="shared" ca="1" si="490"/>
        <v>-3.2943912183154302</v>
      </c>
      <c r="D38" s="70">
        <f t="shared" ca="1" si="0"/>
        <v>-3.1515777193686021</v>
      </c>
      <c r="E38" s="71">
        <f t="shared" ca="1" si="1"/>
        <v>-3.2943912183154271</v>
      </c>
      <c r="F38" s="83">
        <v>47.496492835893044</v>
      </c>
      <c r="G38" s="83">
        <v>1.4510059059111786</v>
      </c>
      <c r="H38" s="83">
        <v>8.9389822250040698</v>
      </c>
      <c r="I38" s="83">
        <v>11.924540482576505</v>
      </c>
      <c r="J38" s="83">
        <v>0.12910303998436018</v>
      </c>
      <c r="K38" s="83">
        <v>21.599482648889445</v>
      </c>
      <c r="L38" s="83">
        <v>7.0002655453965392</v>
      </c>
      <c r="M38" s="83">
        <v>1.2980468694079694</v>
      </c>
      <c r="N38" s="83">
        <v>0.162080446936887</v>
      </c>
      <c r="O38" s="83"/>
      <c r="P38" s="83"/>
      <c r="Q38" s="84"/>
      <c r="R38" s="72">
        <f t="shared" si="491"/>
        <v>100</v>
      </c>
      <c r="S38" s="106">
        <f t="shared" ca="1" si="2"/>
        <v>2.9228259753135779</v>
      </c>
      <c r="T38" s="104">
        <f t="shared" ca="1" si="135"/>
        <v>0.35134993413612425</v>
      </c>
      <c r="U38" s="107">
        <f t="shared" ca="1" si="492"/>
        <v>1635.1504237849385</v>
      </c>
      <c r="V38" s="107">
        <f t="shared" ca="1" si="493"/>
        <v>1594.8857726800366</v>
      </c>
      <c r="W38" s="105">
        <f t="shared" ca="1" si="4"/>
        <v>1601.0463875876353</v>
      </c>
      <c r="X38" s="102">
        <f t="shared" ca="1" si="5"/>
        <v>1762.2237620122803</v>
      </c>
      <c r="Y38" s="102">
        <f t="shared" ca="1" si="6"/>
        <v>1669.7973179553044</v>
      </c>
      <c r="Z38" s="103">
        <f t="shared" ca="1" si="7"/>
        <v>1726.945575516298</v>
      </c>
      <c r="AA38" s="103">
        <f t="shared" ca="1" si="8"/>
        <v>1698.7147991734987</v>
      </c>
      <c r="AB38" s="103">
        <f t="shared" ca="1" si="136"/>
        <v>54.52061038913515</v>
      </c>
      <c r="AC38" s="4">
        <v>13.3</v>
      </c>
      <c r="AD38" s="273">
        <f t="shared" ca="1" si="9"/>
        <v>12.44051399758432</v>
      </c>
      <c r="AE38" s="3">
        <f t="shared" ca="1" si="10"/>
        <v>118.38604432908012</v>
      </c>
      <c r="AF38" s="3">
        <f t="shared" ca="1" si="11"/>
        <v>214.06995432328995</v>
      </c>
      <c r="AG38" s="2">
        <f t="shared" ca="1" si="12"/>
        <v>553.02503662093875</v>
      </c>
      <c r="AH38" s="2">
        <f t="shared" ca="1" si="13"/>
        <v>140.19048395185428</v>
      </c>
      <c r="AI38" s="87">
        <f t="shared" si="14"/>
        <v>0.40497573653760027</v>
      </c>
      <c r="AJ38" s="87">
        <f t="shared" ca="1" si="15"/>
        <v>2.9228259753135721</v>
      </c>
      <c r="AK38" s="87">
        <f t="shared" ca="1" si="16"/>
        <v>0.28872069529480249</v>
      </c>
      <c r="AL38" s="86">
        <f t="shared" ca="1" si="17"/>
        <v>0.28046842123302257</v>
      </c>
      <c r="AM38" s="87">
        <f t="shared" ca="1" si="18"/>
        <v>0.35134993413612431</v>
      </c>
      <c r="AN38" s="87">
        <f t="shared" ca="1" si="19"/>
        <v>0.35134993413612436</v>
      </c>
      <c r="AO38" s="96">
        <f t="shared" ca="1" si="494"/>
        <v>41.229130056614963</v>
      </c>
      <c r="AP38" s="96">
        <f t="shared" ca="1" si="495"/>
        <v>7.8799360621147461</v>
      </c>
      <c r="AQ38" s="96">
        <f t="shared" ca="1" si="496"/>
        <v>50.890933881270293</v>
      </c>
      <c r="AR38" s="73"/>
      <c r="AS38" s="53">
        <f t="shared" ca="1" si="138"/>
        <v>80.180619418060132</v>
      </c>
      <c r="AT38" s="68">
        <f t="shared" ca="1" si="139"/>
        <v>92.009173921189088</v>
      </c>
      <c r="AU38" s="74">
        <f t="shared" ca="1" si="23"/>
        <v>0.35134993413612436</v>
      </c>
      <c r="AV38" s="68">
        <f t="shared" si="497"/>
        <v>2.1038920014733038</v>
      </c>
      <c r="AW38" s="68">
        <f t="shared" ca="1" si="25"/>
        <v>2.1263684504547995</v>
      </c>
      <c r="AX38" s="69">
        <f t="shared" ca="1" si="498"/>
        <v>1644.3353083182119</v>
      </c>
      <c r="AY38" s="69">
        <f t="shared" ca="1" si="499"/>
        <v>1635.1504237849385</v>
      </c>
      <c r="AZ38" s="69">
        <f t="shared" ca="1" si="28"/>
        <v>1594.8857726800366</v>
      </c>
      <c r="BA38" s="75"/>
      <c r="BB38" s="74">
        <f t="shared" ca="1" si="500"/>
        <v>0.25349753567838157</v>
      </c>
      <c r="BC38" s="74">
        <f t="shared" ca="1" si="501"/>
        <v>1.1011154334970456E-2</v>
      </c>
      <c r="BD38" s="68">
        <f t="shared" si="29"/>
        <v>0.16874555946453859</v>
      </c>
      <c r="BE38" s="68">
        <f t="shared" ca="1" si="30"/>
        <v>0.30581577162081075</v>
      </c>
      <c r="BF38" s="68">
        <f t="shared" ca="1" si="31"/>
        <v>0.24918516380525696</v>
      </c>
      <c r="BH38" s="68">
        <f t="shared" ca="1" si="32"/>
        <v>0.22611969760895265</v>
      </c>
      <c r="BI38" s="68">
        <f t="shared" ca="1" si="33"/>
        <v>0.29024364782291451</v>
      </c>
      <c r="BK38" s="53">
        <f t="shared" ca="1" si="142"/>
        <v>0.62147158182110918</v>
      </c>
      <c r="BL38" s="53">
        <f t="shared" si="34"/>
        <v>0.1849228461853426</v>
      </c>
      <c r="BM38" s="53">
        <f t="shared" si="143"/>
        <v>0.30268896022036845</v>
      </c>
      <c r="BN38" s="53">
        <f t="shared" si="35"/>
        <v>0.38326713915316823</v>
      </c>
      <c r="BO38" s="53">
        <f t="shared" si="36"/>
        <v>0.52564785439422912</v>
      </c>
      <c r="BP38" s="53">
        <f t="shared" si="37"/>
        <v>0.50621248250458617</v>
      </c>
      <c r="BQ38" s="54">
        <f t="shared" si="38"/>
        <v>1472.3813525209541</v>
      </c>
      <c r="BR38" s="262">
        <f t="shared" si="39"/>
        <v>5.883397073014609</v>
      </c>
      <c r="BS38" s="54">
        <f t="shared" si="144"/>
        <v>1722.1676576450077</v>
      </c>
      <c r="BT38" s="67"/>
      <c r="BU38" s="73">
        <f t="shared" si="40"/>
        <v>0.79055414174256067</v>
      </c>
      <c r="BV38" s="73">
        <f t="shared" si="41"/>
        <v>1.8160274166597979E-2</v>
      </c>
      <c r="BW38" s="73">
        <f t="shared" si="42"/>
        <v>0.17534292320525835</v>
      </c>
      <c r="BX38" s="73">
        <f t="shared" si="43"/>
        <v>0.16596437693217128</v>
      </c>
      <c r="BY38" s="73">
        <f t="shared" si="44"/>
        <v>1.8198906115641413E-3</v>
      </c>
      <c r="BZ38" s="73">
        <f t="shared" si="45"/>
        <v>0.53596731138683495</v>
      </c>
      <c r="CA38" s="73">
        <f t="shared" si="46"/>
        <v>0.12482641842718509</v>
      </c>
      <c r="CB38" s="73">
        <f t="shared" si="47"/>
        <v>4.1885991268408182E-2</v>
      </c>
      <c r="CC38" s="73">
        <f t="shared" si="48"/>
        <v>3.4411984487661782E-3</v>
      </c>
      <c r="CD38" s="73">
        <f t="shared" si="49"/>
        <v>0</v>
      </c>
      <c r="CE38" s="73">
        <f t="shared" si="50"/>
        <v>0</v>
      </c>
      <c r="CF38" s="73">
        <f t="shared" si="502"/>
        <v>1.8579625261893464</v>
      </c>
      <c r="CG38" s="73">
        <f t="shared" si="503"/>
        <v>0.4254952027283217</v>
      </c>
      <c r="CH38" s="73">
        <f t="shared" si="504"/>
        <v>9.7742951812082191E-3</v>
      </c>
      <c r="CI38" s="73">
        <f t="shared" si="505"/>
        <v>9.437376735734497E-2</v>
      </c>
      <c r="CJ38" s="73">
        <f t="shared" si="506"/>
        <v>8.9326008782621549E-2</v>
      </c>
      <c r="CK38" s="73">
        <f t="shared" si="507"/>
        <v>9.7950878228782678E-4</v>
      </c>
      <c r="CL38" s="73">
        <f t="shared" si="508"/>
        <v>0.28847046365681872</v>
      </c>
      <c r="CM38" s="73">
        <f t="shared" si="509"/>
        <v>6.7184572706750018E-2</v>
      </c>
      <c r="CN38" s="73">
        <f t="shared" si="510"/>
        <v>2.2544045252794052E-2</v>
      </c>
      <c r="CO38" s="73">
        <f t="shared" si="511"/>
        <v>1.8521355518531502E-3</v>
      </c>
      <c r="CP38" s="73">
        <f t="shared" si="512"/>
        <v>0</v>
      </c>
      <c r="CQ38" s="73">
        <f t="shared" si="513"/>
        <v>0</v>
      </c>
      <c r="CR38" s="73"/>
      <c r="CS38" s="73">
        <f t="shared" ca="1" si="55"/>
        <v>0.68623718469731965</v>
      </c>
      <c r="CT38" s="73">
        <f t="shared" ca="1" si="56"/>
        <v>0.10967203983458242</v>
      </c>
      <c r="CU38" s="73">
        <f t="shared" ca="1" si="57"/>
        <v>1.262802329560057</v>
      </c>
      <c r="CV38" s="73">
        <f t="shared" ca="1" si="58"/>
        <v>2.0587115540919592</v>
      </c>
      <c r="CW38" s="73">
        <f t="shared" ca="1" si="59"/>
        <v>0.33333333333333331</v>
      </c>
      <c r="CX38" s="73">
        <f t="shared" ca="1" si="60"/>
        <v>5.3272173858739391E-2</v>
      </c>
      <c r="CY38" s="73">
        <f t="shared" ca="1" si="61"/>
        <v>0.61339449280792724</v>
      </c>
      <c r="CZ38" s="73">
        <f t="shared" si="62"/>
        <v>0.44596055392847811</v>
      </c>
      <c r="DA38" s="73">
        <f t="shared" si="63"/>
        <v>0.4254952027283217</v>
      </c>
      <c r="DB38" s="73">
        <f t="shared" si="64"/>
        <v>-0.41570675705032767</v>
      </c>
      <c r="DC38" s="73"/>
      <c r="DD38" s="73">
        <f t="shared" ca="1" si="514"/>
        <v>1644.3353083182119</v>
      </c>
      <c r="DE38" s="73">
        <f t="shared" ca="1" si="515"/>
        <v>15047.676772652121</v>
      </c>
      <c r="DF38" s="73">
        <f t="shared" si="67"/>
        <v>7.8476099438019356</v>
      </c>
      <c r="DG38" s="73">
        <f t="shared" si="516"/>
        <v>1733.38199775407</v>
      </c>
      <c r="DH38" s="73">
        <f t="shared" si="448"/>
        <v>1460.2319977540701</v>
      </c>
      <c r="DI38" s="73">
        <f t="shared" si="449"/>
        <v>13602.905801982104</v>
      </c>
      <c r="DJ38" s="73">
        <f t="shared" si="70"/>
        <v>7.8476099438019356</v>
      </c>
      <c r="DK38" s="73">
        <f t="shared" si="517"/>
        <v>1733.38199775407</v>
      </c>
      <c r="DL38" s="73">
        <f t="shared" ca="1" si="72"/>
        <v>2.9228259753135779</v>
      </c>
      <c r="DM38" s="73">
        <f t="shared" si="73"/>
        <v>-0.41570675705032767</v>
      </c>
      <c r="DN38" s="73">
        <f t="shared" si="74"/>
        <v>0.44596055392847811</v>
      </c>
      <c r="DO38" s="73">
        <f t="shared" si="75"/>
        <v>0.4254952027283217</v>
      </c>
      <c r="DP38" s="73">
        <f t="shared" si="76"/>
        <v>2.1038920014733038</v>
      </c>
      <c r="DQ38" s="73">
        <f t="shared" ca="1" si="77"/>
        <v>15047.752879597496</v>
      </c>
      <c r="DR38" s="73">
        <f t="shared" si="518"/>
        <v>7.8473867166298001</v>
      </c>
      <c r="DS38" s="73">
        <f t="shared" ca="1" si="519"/>
        <v>1644.3995515862662</v>
      </c>
      <c r="DT38" s="73">
        <f t="shared" si="520"/>
        <v>1460.2996082846375</v>
      </c>
      <c r="DU38" s="73">
        <f t="shared" ca="1" si="521"/>
        <v>1601.0463875876353</v>
      </c>
      <c r="DV38" s="76">
        <f t="shared" ca="1" si="82"/>
        <v>2.1263684504547995</v>
      </c>
      <c r="DW38" s="73">
        <f t="shared" ca="1" si="83"/>
        <v>2.8377300595659443</v>
      </c>
      <c r="DX38" s="73">
        <f t="shared" ca="1" si="522"/>
        <v>4591.0184829800246</v>
      </c>
      <c r="DY38" s="73">
        <f t="shared" ca="1" si="523"/>
        <v>1617.8489097311326</v>
      </c>
      <c r="DZ38" s="73">
        <f t="shared" ca="1" si="85"/>
        <v>3.2598017300634683</v>
      </c>
      <c r="EA38" s="73"/>
      <c r="EB38" s="73">
        <f t="shared" si="86"/>
        <v>0.79055414174256067</v>
      </c>
      <c r="EC38" s="73">
        <f t="shared" si="87"/>
        <v>1.8160274166597979E-2</v>
      </c>
      <c r="ED38" s="73">
        <f t="shared" si="88"/>
        <v>8.7671461602629175E-2</v>
      </c>
      <c r="EE38" s="73">
        <f t="shared" si="89"/>
        <v>0.16596437693217128</v>
      </c>
      <c r="EF38" s="73">
        <f t="shared" si="90"/>
        <v>1.8198906115641413E-3</v>
      </c>
      <c r="EG38" s="73">
        <f t="shared" si="91"/>
        <v>0.53596731138683495</v>
      </c>
      <c r="EH38" s="73">
        <f t="shared" si="92"/>
        <v>0.12482641842718509</v>
      </c>
      <c r="EI38" s="73">
        <f t="shared" si="93"/>
        <v>2.0942995634204091E-2</v>
      </c>
      <c r="EJ38" s="73">
        <f t="shared" si="94"/>
        <v>1.7205992243830891E-3</v>
      </c>
      <c r="EK38" s="73">
        <f t="shared" si="95"/>
        <v>0</v>
      </c>
      <c r="EL38" s="73">
        <f t="shared" si="96"/>
        <v>0</v>
      </c>
      <c r="EM38" s="73">
        <f t="shared" si="524"/>
        <v>1.7476274697281304</v>
      </c>
      <c r="EN38" s="73">
        <f t="shared" si="525"/>
        <v>0.45235850055935728</v>
      </c>
      <c r="EO38" s="73">
        <f t="shared" si="526"/>
        <v>1.0391387455945105E-2</v>
      </c>
      <c r="EP38" s="73">
        <f t="shared" si="527"/>
        <v>5.0165989675286911E-2</v>
      </c>
      <c r="EQ38" s="73">
        <f t="shared" si="528"/>
        <v>9.496553459301571E-2</v>
      </c>
      <c r="ER38" s="73">
        <f t="shared" si="529"/>
        <v>1.041349282434461E-3</v>
      </c>
      <c r="ES38" s="73">
        <f t="shared" si="530"/>
        <v>0.30668281465626807</v>
      </c>
      <c r="ET38" s="73">
        <f t="shared" si="531"/>
        <v>7.1426216736341239E-2</v>
      </c>
      <c r="EU38" s="73">
        <f t="shared" si="532"/>
        <v>1.198367272028637E-2</v>
      </c>
      <c r="EV38" s="73">
        <f t="shared" si="533"/>
        <v>9.8453432106486286E-4</v>
      </c>
      <c r="EW38" s="73">
        <f t="shared" si="534"/>
        <v>0</v>
      </c>
      <c r="EX38" s="73">
        <f t="shared" si="535"/>
        <v>0</v>
      </c>
      <c r="EY38" s="73">
        <f t="shared" si="536"/>
        <v>1</v>
      </c>
      <c r="EZ38" s="73">
        <f t="shared" si="100"/>
        <v>9.437376735734497E-2</v>
      </c>
      <c r="FA38" s="73">
        <f t="shared" si="101"/>
        <v>0.52964326526687489</v>
      </c>
      <c r="FB38" s="73">
        <f t="shared" si="102"/>
        <v>1.4702582911858788</v>
      </c>
      <c r="FC38" s="73">
        <f t="shared" si="537"/>
        <v>0.82194352130425807</v>
      </c>
      <c r="FD38" s="73">
        <f t="shared" si="538"/>
        <v>1.551881379800232</v>
      </c>
      <c r="FE38" s="73">
        <f t="shared" ca="1" si="105"/>
        <v>0.12636273379991511</v>
      </c>
      <c r="FF38" s="73">
        <f t="shared" ca="1" si="539"/>
        <v>9.5791974205933356E-3</v>
      </c>
      <c r="FG38" s="73">
        <f t="shared" ca="1" si="540"/>
        <v>7.5807139751829039E-2</v>
      </c>
      <c r="FH38" s="73">
        <f t="shared" ca="1" si="541"/>
        <v>0.24718417899220774</v>
      </c>
      <c r="FI38" s="73">
        <f t="shared" ca="1" si="147"/>
        <v>8.6848145008404168E-2</v>
      </c>
      <c r="FJ38" s="73">
        <f t="shared" ca="1" si="542"/>
        <v>0.35134993413612436</v>
      </c>
      <c r="FK38" s="73">
        <f t="shared" ca="1" si="543"/>
        <v>8.6848145008404154E-2</v>
      </c>
      <c r="FL38" s="73">
        <f t="shared" ca="1" si="109"/>
        <v>8.6848145008404154E-2</v>
      </c>
      <c r="FM38" s="73"/>
      <c r="FN38" s="73"/>
      <c r="FO38" s="73"/>
      <c r="FP38" s="73">
        <f t="shared" ca="1" si="477"/>
        <v>1.8401834784237818</v>
      </c>
      <c r="FQ38" s="73">
        <f t="shared" ca="1" si="478"/>
        <v>0.15981652157621817</v>
      </c>
      <c r="FR38" s="73">
        <f t="shared" si="479"/>
        <v>0.33333333333333331</v>
      </c>
      <c r="FS38" s="73">
        <f t="shared" ca="1" si="544"/>
        <v>5.3272173858739391E-2</v>
      </c>
      <c r="FT38" s="73">
        <f t="shared" ca="1" si="545"/>
        <v>0.61339449280792724</v>
      </c>
      <c r="FU38" s="73">
        <f t="shared" si="546"/>
        <v>20.026666666666664</v>
      </c>
      <c r="FV38" s="73">
        <f t="shared" ca="1" si="547"/>
        <v>3.8276056917504251</v>
      </c>
      <c r="FW38" s="73">
        <f t="shared" ca="1" si="548"/>
        <v>24.719798060159466</v>
      </c>
      <c r="FX38" s="73">
        <f t="shared" ca="1" si="549"/>
        <v>48.574070418576554</v>
      </c>
      <c r="FY38" s="73">
        <f t="shared" ca="1" si="550"/>
        <v>41.229130056614963</v>
      </c>
      <c r="FZ38" s="73">
        <f t="shared" ca="1" si="551"/>
        <v>7.8799360621147461</v>
      </c>
      <c r="GA38" s="73">
        <f t="shared" ca="1" si="552"/>
        <v>50.890933881270293</v>
      </c>
      <c r="GB38" s="73">
        <f t="shared" ca="1" si="553"/>
        <v>92.009173921189088</v>
      </c>
      <c r="GC38" s="73">
        <f t="shared" ca="1" si="119"/>
        <v>2922825975.3135781</v>
      </c>
      <c r="GD38" s="2">
        <f t="shared" si="152"/>
        <v>38</v>
      </c>
      <c r="GE38">
        <f t="shared" ca="1" si="153"/>
        <v>1465.1867524506997</v>
      </c>
      <c r="GF38">
        <f t="shared" ca="1" si="120"/>
        <v>1464.8405508944109</v>
      </c>
      <c r="GG38">
        <f t="shared" ca="1" si="121"/>
        <v>1820.6998001421866</v>
      </c>
      <c r="GH38" s="2">
        <f t="shared" ca="1" si="122"/>
        <v>0.47858773728807941</v>
      </c>
      <c r="GI38" s="2">
        <f t="shared" ca="1" si="123"/>
        <v>1.3123065554552995</v>
      </c>
      <c r="GJ38" s="2">
        <f t="shared" ca="1" si="124"/>
        <v>-1.8021435421206338</v>
      </c>
      <c r="GK38" s="2">
        <f t="shared" ca="1" si="125"/>
        <v>1.4959141606900201</v>
      </c>
      <c r="GL38" s="2">
        <f t="shared" ca="1" si="154"/>
        <v>-0.47858773728807941</v>
      </c>
      <c r="GM38">
        <f t="shared" ca="1" si="155"/>
        <v>0.40157017683629637</v>
      </c>
      <c r="GN38">
        <f t="shared" ca="1" si="156"/>
        <v>6.4756647298979758E-2</v>
      </c>
      <c r="GO38">
        <f t="shared" ca="1" si="157"/>
        <v>-0.17614084731123011</v>
      </c>
      <c r="GP38">
        <f t="shared" ca="1" si="158"/>
        <v>-0.1599649732132094</v>
      </c>
      <c r="GQ38">
        <f t="shared" ca="1" si="159"/>
        <v>0.29242020028965032</v>
      </c>
      <c r="GR38">
        <f t="shared" ca="1" si="160"/>
        <v>0.16125860692433436</v>
      </c>
      <c r="GS38">
        <f t="shared" ca="1" si="161"/>
        <v>4.8580773200959049E-2</v>
      </c>
      <c r="GT38">
        <f t="shared" ca="1" si="162"/>
        <v>2.2564205776255306E-3</v>
      </c>
      <c r="GU38">
        <f t="shared" ca="1" si="163"/>
        <v>0.48843551109624939</v>
      </c>
      <c r="GV38">
        <f t="shared" ca="1" si="164"/>
        <v>-0.26853410611144063</v>
      </c>
      <c r="GW38">
        <f t="shared" ca="1" si="165"/>
        <v>0.62147158182110518</v>
      </c>
      <c r="GY38" s="15">
        <f t="shared" si="166"/>
        <v>0.20326358352230101</v>
      </c>
      <c r="GZ38" s="2">
        <f t="shared" si="167"/>
        <v>6.0557377131232014E-2</v>
      </c>
      <c r="HA38" s="2">
        <f t="shared" si="168"/>
        <v>8.2840313190483739E-2</v>
      </c>
      <c r="HB38" s="2">
        <f t="shared" si="169"/>
        <v>0.34666127384401674</v>
      </c>
      <c r="HC38" s="2">
        <f t="shared" si="170"/>
        <v>0.58634638149331109</v>
      </c>
      <c r="HD38" s="2">
        <f t="shared" si="171"/>
        <v>0.17468745920111151</v>
      </c>
      <c r="HE38" s="2">
        <f t="shared" si="172"/>
        <v>0.23896615930557752</v>
      </c>
      <c r="HF38" s="2">
        <f t="shared" si="127"/>
        <v>-1.2847537309786936</v>
      </c>
      <c r="HG38" s="2">
        <f t="shared" si="128"/>
        <v>-1.286677258740228</v>
      </c>
      <c r="HH38" s="2">
        <f t="shared" si="173"/>
        <v>-1.2857154948594607</v>
      </c>
      <c r="HI38" s="2">
        <f t="shared" si="129"/>
        <v>2.6330448409078873</v>
      </c>
      <c r="HJ38" s="2">
        <f t="shared" si="130"/>
        <v>0.15684005476238716</v>
      </c>
      <c r="HK38" s="2">
        <f t="shared" si="131"/>
        <v>0.34697039878658553</v>
      </c>
      <c r="HL38" s="2">
        <f t="shared" si="132"/>
        <v>0.67256260412872015</v>
      </c>
    </row>
    <row r="39" spans="1:220" ht="20.25">
      <c r="A39" s="88" t="s">
        <v>152</v>
      </c>
      <c r="B39" s="77">
        <v>3500</v>
      </c>
      <c r="C39" s="95">
        <f t="shared" ca="1" si="490"/>
        <v>-1.9925473065233894</v>
      </c>
      <c r="D39" s="70">
        <f t="shared" ca="1" si="0"/>
        <v>-1.57097924156405</v>
      </c>
      <c r="E39" s="71">
        <f t="shared" ca="1" si="1"/>
        <v>-1.9925473065233921</v>
      </c>
      <c r="F39" s="83">
        <v>47.588395715895587</v>
      </c>
      <c r="G39" s="83">
        <v>0.23749999999999999</v>
      </c>
      <c r="H39" s="83">
        <v>4.4749999999999996</v>
      </c>
      <c r="I39" s="83">
        <v>11.83624707781021</v>
      </c>
      <c r="J39" s="83">
        <v>0.26250000000000001</v>
      </c>
      <c r="K39" s="83">
        <v>27.71285720629421</v>
      </c>
      <c r="L39" s="83">
        <v>6.375</v>
      </c>
      <c r="M39" s="83">
        <v>0.61250000000000004</v>
      </c>
      <c r="N39" s="83">
        <v>0.22499999999999998</v>
      </c>
      <c r="O39" s="83">
        <v>0.53749999999999998</v>
      </c>
      <c r="P39" s="83">
        <v>1.2500000000000001E-2</v>
      </c>
      <c r="Q39" s="84"/>
      <c r="R39" s="72">
        <f t="shared" si="491"/>
        <v>99.875</v>
      </c>
      <c r="S39" s="106">
        <f t="shared" ca="1" si="2"/>
        <v>4.1774387983600265</v>
      </c>
      <c r="T39" s="104">
        <f t="shared" ca="1" si="135"/>
        <v>0.36213588920786915</v>
      </c>
      <c r="U39" s="107">
        <f t="shared" ca="1" si="492"/>
        <v>1815.7256416609684</v>
      </c>
      <c r="V39" s="107">
        <f t="shared" ca="1" si="493"/>
        <v>1741.8472721842475</v>
      </c>
      <c r="W39" s="105">
        <f t="shared" ca="1" si="4"/>
        <v>1745.9958293086556</v>
      </c>
      <c r="X39" s="102">
        <f t="shared" ca="1" si="5"/>
        <v>2037.5359633500641</v>
      </c>
      <c r="Y39" s="102">
        <f t="shared" ca="1" si="6"/>
        <v>1906.1208084589214</v>
      </c>
      <c r="Z39" s="103">
        <f t="shared" ca="1" si="7"/>
        <v>1987.4926362743802</v>
      </c>
      <c r="AA39" s="103">
        <f t="shared" ca="1" si="8"/>
        <v>1946.6796812220293</v>
      </c>
      <c r="AB39" s="103">
        <f t="shared" ca="1" si="136"/>
        <v>77.877934061931015</v>
      </c>
      <c r="AC39" s="4">
        <v>13.3</v>
      </c>
      <c r="AD39" s="273">
        <f t="shared" ca="1" si="9"/>
        <v>13.523372414782981</v>
      </c>
      <c r="AE39" s="3">
        <f t="shared" ca="1" si="10"/>
        <v>125.82351430765458</v>
      </c>
      <c r="AF39" s="3">
        <f t="shared" ca="1" si="11"/>
        <v>215.07479686899768</v>
      </c>
      <c r="AG39" s="2">
        <f t="shared" ca="1" si="12"/>
        <v>585.02212318393515</v>
      </c>
      <c r="AH39" s="2">
        <f t="shared" ca="1" si="13"/>
        <v>261.32546964796751</v>
      </c>
      <c r="AI39" s="87">
        <f t="shared" si="14"/>
        <v>0.52632628498832446</v>
      </c>
      <c r="AJ39" s="87">
        <f t="shared" ca="1" si="15"/>
        <v>4.1774387983600381</v>
      </c>
      <c r="AK39" s="87">
        <f t="shared" ca="1" si="16"/>
        <v>0.30859420874798926</v>
      </c>
      <c r="AL39" s="86">
        <f t="shared" ca="1" si="17"/>
        <v>0.27705307519583733</v>
      </c>
      <c r="AM39" s="87">
        <f t="shared" ca="1" si="18"/>
        <v>0.36213588920786915</v>
      </c>
      <c r="AN39" s="87">
        <f t="shared" ca="1" si="19"/>
        <v>0.36213588920786999</v>
      </c>
      <c r="AO39" s="96">
        <f t="shared" ca="1" si="494"/>
        <v>41.547000397283249</v>
      </c>
      <c r="AP39" s="96">
        <f t="shared" ca="1" si="495"/>
        <v>6.18489644990896</v>
      </c>
      <c r="AQ39" s="96">
        <f t="shared" ca="1" si="496"/>
        <v>52.268103152807782</v>
      </c>
      <c r="AR39" s="73"/>
      <c r="AS39" s="53">
        <f t="shared" ca="1" si="138"/>
        <v>84.511233270936955</v>
      </c>
      <c r="AT39" s="68">
        <f t="shared" ca="1" si="139"/>
        <v>93.776052586580974</v>
      </c>
      <c r="AU39" s="74">
        <f t="shared" ca="1" si="23"/>
        <v>0.36213588920786999</v>
      </c>
      <c r="AV39" s="68">
        <f t="shared" si="497"/>
        <v>1.6950571697749834</v>
      </c>
      <c r="AW39" s="68">
        <f t="shared" ca="1" si="25"/>
        <v>1.7131611052071933</v>
      </c>
      <c r="AX39" s="69">
        <f t="shared" ca="1" si="498"/>
        <v>1832.796422063826</v>
      </c>
      <c r="AY39" s="69">
        <f t="shared" ca="1" si="499"/>
        <v>1815.7256416609675</v>
      </c>
      <c r="AZ39" s="69">
        <f t="shared" ca="1" si="28"/>
        <v>1741.8472721842472</v>
      </c>
      <c r="BA39" s="75"/>
      <c r="BB39" s="74">
        <f t="shared" ca="1" si="500"/>
        <v>0.4466933117430244</v>
      </c>
      <c r="BC39" s="74">
        <f t="shared" ca="1" si="501"/>
        <v>1.5294489002423355E-2</v>
      </c>
      <c r="BD39" s="68">
        <f t="shared" si="29"/>
        <v>0.4405685344803566</v>
      </c>
      <c r="BE39" s="68">
        <f t="shared" ca="1" si="30"/>
        <v>0.52090853801573034</v>
      </c>
      <c r="BF39" s="68">
        <f t="shared" ca="1" si="31"/>
        <v>0.32601731023708025</v>
      </c>
      <c r="BH39" s="68">
        <f t="shared" ca="1" si="32"/>
        <v>0.46797497314996955</v>
      </c>
      <c r="BI39" s="68">
        <f t="shared" ca="1" si="33"/>
        <v>0.49927886423893442</v>
      </c>
      <c r="BK39" s="53">
        <f t="shared" ca="1" si="142"/>
        <v>0.88334299431996999</v>
      </c>
      <c r="BL39" s="53">
        <f t="shared" si="34"/>
        <v>0.58877006634928863</v>
      </c>
      <c r="BM39" s="53">
        <f t="shared" si="143"/>
        <v>0.70548930755877881</v>
      </c>
      <c r="BN39" s="53">
        <f t="shared" si="35"/>
        <v>1.175335357384794</v>
      </c>
      <c r="BO39" s="53">
        <f t="shared" si="36"/>
        <v>0.719879701898538</v>
      </c>
      <c r="BP39" s="53">
        <f t="shared" si="37"/>
        <v>0.62172124668785278</v>
      </c>
      <c r="BQ39" s="54">
        <f t="shared" si="38"/>
        <v>1573.3133231077461</v>
      </c>
      <c r="BR39" s="262">
        <f t="shared" si="39"/>
        <v>12.9298994900757</v>
      </c>
      <c r="BS39" s="54">
        <f t="shared" si="144"/>
        <v>1995.464802156434</v>
      </c>
      <c r="BT39" s="67"/>
      <c r="BU39" s="73">
        <f t="shared" si="40"/>
        <v>0.79208381684246987</v>
      </c>
      <c r="BV39" s="73">
        <f t="shared" si="41"/>
        <v>2.9724655819774715E-3</v>
      </c>
      <c r="BW39" s="73">
        <f t="shared" si="42"/>
        <v>8.77795213809337E-2</v>
      </c>
      <c r="BX39" s="73">
        <f t="shared" si="43"/>
        <v>0.16473551952415047</v>
      </c>
      <c r="BY39" s="73">
        <f t="shared" si="44"/>
        <v>3.7003101212292082E-3</v>
      </c>
      <c r="BZ39" s="73">
        <f t="shared" si="45"/>
        <v>0.68766395052839235</v>
      </c>
      <c r="CA39" s="73">
        <f t="shared" si="46"/>
        <v>0.11367689015691869</v>
      </c>
      <c r="CB39" s="73">
        <f t="shared" si="47"/>
        <v>1.9764440141981286E-2</v>
      </c>
      <c r="CC39" s="73">
        <f t="shared" si="48"/>
        <v>4.7770700636942673E-3</v>
      </c>
      <c r="CD39" s="73">
        <f t="shared" si="49"/>
        <v>7.0728337390617794E-3</v>
      </c>
      <c r="CE39" s="73">
        <f t="shared" si="50"/>
        <v>1.7613075947583488E-4</v>
      </c>
      <c r="CF39" s="73">
        <f t="shared" si="502"/>
        <v>1.8844029488402849</v>
      </c>
      <c r="CG39" s="73">
        <f t="shared" si="503"/>
        <v>0.42033675299114809</v>
      </c>
      <c r="CH39" s="73">
        <f t="shared" si="504"/>
        <v>1.5774044419781933E-3</v>
      </c>
      <c r="CI39" s="73">
        <f t="shared" si="505"/>
        <v>4.65821396824685E-2</v>
      </c>
      <c r="CJ39" s="73">
        <f t="shared" si="506"/>
        <v>8.7420537961656969E-2</v>
      </c>
      <c r="CK39" s="73">
        <f t="shared" si="507"/>
        <v>1.96365120501774E-3</v>
      </c>
      <c r="CL39" s="73">
        <f t="shared" si="508"/>
        <v>0.36492404713737064</v>
      </c>
      <c r="CM39" s="73">
        <f t="shared" si="509"/>
        <v>6.0325149791810015E-2</v>
      </c>
      <c r="CN39" s="73">
        <f t="shared" si="510"/>
        <v>1.0488436220153913E-2</v>
      </c>
      <c r="CO39" s="73">
        <f t="shared" si="511"/>
        <v>2.53505762482181E-3</v>
      </c>
      <c r="CP39" s="73">
        <f t="shared" si="512"/>
        <v>3.7533552701212881E-3</v>
      </c>
      <c r="CQ39" s="73">
        <f t="shared" si="513"/>
        <v>9.3467673452873103E-5</v>
      </c>
      <c r="CR39" s="73"/>
      <c r="CS39" s="73">
        <f t="shared" ca="1" si="55"/>
        <v>0.69152796932894889</v>
      </c>
      <c r="CT39" s="73">
        <f t="shared" ca="1" si="56"/>
        <v>8.6080674320236056E-2</v>
      </c>
      <c r="CU39" s="73">
        <f t="shared" ca="1" si="57"/>
        <v>1.2969752643376622</v>
      </c>
      <c r="CV39" s="73">
        <f t="shared" ca="1" si="58"/>
        <v>2.0745839079868471</v>
      </c>
      <c r="CW39" s="73">
        <f t="shared" ca="1" si="59"/>
        <v>0.33333333333333326</v>
      </c>
      <c r="CX39" s="73">
        <f t="shared" ca="1" si="60"/>
        <v>4.1492982756126638E-2</v>
      </c>
      <c r="CY39" s="73">
        <f t="shared" ca="1" si="61"/>
        <v>0.62517368391054007</v>
      </c>
      <c r="CZ39" s="73">
        <f t="shared" si="62"/>
        <v>0.51463338609585541</v>
      </c>
      <c r="DA39" s="73">
        <f t="shared" si="63"/>
        <v>0.42033675299114809</v>
      </c>
      <c r="DB39" s="73">
        <f t="shared" si="64"/>
        <v>-0.17800755982282515</v>
      </c>
      <c r="DC39" s="73"/>
      <c r="DD39" s="73">
        <f t="shared" ca="1" si="514"/>
        <v>1832.796422063826</v>
      </c>
      <c r="DE39" s="73">
        <f t="shared" ca="1" si="515"/>
        <v>15667.860875259756</v>
      </c>
      <c r="DF39" s="73">
        <f t="shared" si="67"/>
        <v>7.4398193188149913</v>
      </c>
      <c r="DG39" s="73">
        <f t="shared" si="516"/>
        <v>1828.3919567214389</v>
      </c>
      <c r="DH39" s="73">
        <f t="shared" si="448"/>
        <v>1555.2419567214388</v>
      </c>
      <c r="DI39" s="73">
        <f t="shared" si="449"/>
        <v>13602.905801982104</v>
      </c>
      <c r="DJ39" s="73">
        <f t="shared" si="70"/>
        <v>7.4398193188149913</v>
      </c>
      <c r="DK39" s="73">
        <f t="shared" si="517"/>
        <v>1828.3919567214389</v>
      </c>
      <c r="DL39" s="73">
        <f t="shared" ca="1" si="72"/>
        <v>4.1774387983600265</v>
      </c>
      <c r="DM39" s="73">
        <f t="shared" si="73"/>
        <v>-0.17800755982282515</v>
      </c>
      <c r="DN39" s="73">
        <f t="shared" si="74"/>
        <v>0.51463338609585541</v>
      </c>
      <c r="DO39" s="73">
        <f t="shared" si="75"/>
        <v>0.42033675299114809</v>
      </c>
      <c r="DP39" s="73">
        <f t="shared" si="76"/>
        <v>1.6950571697749834</v>
      </c>
      <c r="DQ39" s="73">
        <f t="shared" ca="1" si="77"/>
        <v>15667.907998029355</v>
      </c>
      <c r="DR39" s="73">
        <f t="shared" si="518"/>
        <v>7.4395960916428558</v>
      </c>
      <c r="DS39" s="73">
        <f t="shared" ca="1" si="519"/>
        <v>1832.8659456276978</v>
      </c>
      <c r="DT39" s="73">
        <f t="shared" si="520"/>
        <v>1555.3161240253016</v>
      </c>
      <c r="DU39" s="73">
        <f t="shared" ca="1" si="521"/>
        <v>1745.9958293086556</v>
      </c>
      <c r="DV39" s="76">
        <f t="shared" ca="1" si="82"/>
        <v>1.713161105207194</v>
      </c>
      <c r="DW39" s="73">
        <f t="shared" ca="1" si="83"/>
        <v>2.6535021384936535</v>
      </c>
      <c r="DX39" s="73">
        <f t="shared" ca="1" si="522"/>
        <v>4660.1351034016543</v>
      </c>
      <c r="DY39" s="73">
        <f t="shared" ca="1" si="523"/>
        <v>1756.2205945864175</v>
      </c>
      <c r="DZ39" s="73">
        <f t="shared" ca="1" si="85"/>
        <v>2.6424058567952446</v>
      </c>
      <c r="EA39" s="73"/>
      <c r="EB39" s="73">
        <f t="shared" si="86"/>
        <v>0.79208381684246987</v>
      </c>
      <c r="EC39" s="73">
        <f t="shared" si="87"/>
        <v>2.9724655819774715E-3</v>
      </c>
      <c r="ED39" s="73">
        <f t="shared" si="88"/>
        <v>4.388976069046685E-2</v>
      </c>
      <c r="EE39" s="73">
        <f t="shared" si="89"/>
        <v>0.16473551952415047</v>
      </c>
      <c r="EF39" s="73">
        <f t="shared" si="90"/>
        <v>3.7003101212292082E-3</v>
      </c>
      <c r="EG39" s="73">
        <f t="shared" si="91"/>
        <v>0.68766395052839235</v>
      </c>
      <c r="EH39" s="73">
        <f t="shared" si="92"/>
        <v>0.11367689015691869</v>
      </c>
      <c r="EI39" s="73">
        <f t="shared" si="93"/>
        <v>9.8822200709906428E-3</v>
      </c>
      <c r="EJ39" s="73">
        <f t="shared" si="94"/>
        <v>2.3885350318471337E-3</v>
      </c>
      <c r="EK39" s="73">
        <f t="shared" si="95"/>
        <v>3.5364168695308897E-3</v>
      </c>
      <c r="EL39" s="73">
        <f t="shared" si="96"/>
        <v>8.8065379737917439E-5</v>
      </c>
      <c r="EM39" s="73">
        <f t="shared" si="524"/>
        <v>1.8246179507977116</v>
      </c>
      <c r="EN39" s="73">
        <f t="shared" si="525"/>
        <v>0.434109407120639</v>
      </c>
      <c r="EO39" s="73">
        <f t="shared" si="526"/>
        <v>1.6290893009563608E-3</v>
      </c>
      <c r="EP39" s="73">
        <f t="shared" si="527"/>
        <v>2.4054219499089396E-2</v>
      </c>
      <c r="EQ39" s="73">
        <f t="shared" si="528"/>
        <v>9.0284938527612935E-2</v>
      </c>
      <c r="ER39" s="73">
        <f t="shared" si="529"/>
        <v>2.027991733618238E-3</v>
      </c>
      <c r="ES39" s="73">
        <f t="shared" si="530"/>
        <v>0.37688106171911218</v>
      </c>
      <c r="ET39" s="73">
        <f t="shared" si="531"/>
        <v>6.230174930988696E-2</v>
      </c>
      <c r="EU39" s="73">
        <f t="shared" si="532"/>
        <v>5.4160489140590764E-3</v>
      </c>
      <c r="EV39" s="73">
        <f t="shared" si="533"/>
        <v>1.3090603601717723E-3</v>
      </c>
      <c r="EW39" s="73">
        <f t="shared" si="534"/>
        <v>1.938168408342574E-3</v>
      </c>
      <c r="EX39" s="73">
        <f t="shared" si="535"/>
        <v>4.8265106511429315E-5</v>
      </c>
      <c r="EY39" s="73">
        <f t="shared" si="536"/>
        <v>1</v>
      </c>
      <c r="EZ39" s="73">
        <f t="shared" si="100"/>
        <v>4.65821396824685E-2</v>
      </c>
      <c r="FA39" s="73">
        <f t="shared" si="101"/>
        <v>0.46849629711559476</v>
      </c>
      <c r="FB39" s="73">
        <f t="shared" si="102"/>
        <v>1.4407103594971129</v>
      </c>
      <c r="FC39" s="73">
        <f t="shared" si="537"/>
        <v>1.0074355305318468</v>
      </c>
      <c r="FD39" s="73">
        <f t="shared" si="538"/>
        <v>2.1503596436820427</v>
      </c>
      <c r="FE39" s="73">
        <f t="shared" ca="1" si="105"/>
        <v>0.15354966544206561</v>
      </c>
      <c r="FF39" s="73">
        <f t="shared" ca="1" si="539"/>
        <v>1.0606096857226027E-2</v>
      </c>
      <c r="FG39" s="73">
        <f t="shared" ca="1" si="540"/>
        <v>6.9072744813160877E-2</v>
      </c>
      <c r="FH39" s="73">
        <f t="shared" ca="1" si="541"/>
        <v>0.18327465035810289</v>
      </c>
      <c r="FI39" s="73">
        <f t="shared" ca="1" si="147"/>
        <v>6.6370328476692761E-2</v>
      </c>
      <c r="FJ39" s="73">
        <f t="shared" ca="1" si="542"/>
        <v>0.36213588920786838</v>
      </c>
      <c r="FK39" s="73">
        <f t="shared" ca="1" si="543"/>
        <v>6.6370328476692761E-2</v>
      </c>
      <c r="FL39" s="73">
        <f t="shared" ca="1" si="109"/>
        <v>6.63703284766929E-2</v>
      </c>
      <c r="FM39" s="73"/>
      <c r="FN39" s="73"/>
      <c r="FO39" s="73"/>
      <c r="FP39" s="73">
        <f t="shared" ca="1" si="477"/>
        <v>1.8755210517316196</v>
      </c>
      <c r="FQ39" s="73">
        <f t="shared" ca="1" si="478"/>
        <v>0.12447894826838035</v>
      </c>
      <c r="FR39" s="73">
        <f t="shared" si="479"/>
        <v>0.33333333333333331</v>
      </c>
      <c r="FS39" s="73">
        <f t="shared" ca="1" si="544"/>
        <v>4.1492982756126784E-2</v>
      </c>
      <c r="FT39" s="73">
        <f t="shared" ca="1" si="545"/>
        <v>0.62517368391053985</v>
      </c>
      <c r="FU39" s="73">
        <f t="shared" si="546"/>
        <v>20.026666666666664</v>
      </c>
      <c r="FV39" s="73">
        <f t="shared" ca="1" si="547"/>
        <v>2.9812708110277093</v>
      </c>
      <c r="FW39" s="73">
        <f t="shared" ca="1" si="548"/>
        <v>25.194499461594756</v>
      </c>
      <c r="FX39" s="73">
        <f t="shared" ca="1" si="549"/>
        <v>48.202436939289129</v>
      </c>
      <c r="FY39" s="73">
        <f t="shared" ca="1" si="550"/>
        <v>41.547000397283249</v>
      </c>
      <c r="FZ39" s="73">
        <f t="shared" ca="1" si="551"/>
        <v>6.1848964499089831</v>
      </c>
      <c r="GA39" s="73">
        <f t="shared" ca="1" si="552"/>
        <v>52.268103152807761</v>
      </c>
      <c r="GB39" s="73">
        <f t="shared" ca="1" si="553"/>
        <v>93.776052586580974</v>
      </c>
      <c r="GC39" s="73">
        <f t="shared" ca="1" si="119"/>
        <v>4177438798.3600264</v>
      </c>
      <c r="GD39" s="2">
        <f t="shared" si="152"/>
        <v>38</v>
      </c>
      <c r="GE39">
        <f t="shared" ca="1" si="153"/>
        <v>1586.1318634412974</v>
      </c>
      <c r="GF39">
        <f t="shared" ca="1" si="120"/>
        <v>1586.1117382607688</v>
      </c>
      <c r="GG39">
        <f t="shared" ca="1" si="121"/>
        <v>1882.3781219298171</v>
      </c>
      <c r="GH39" s="2">
        <f t="shared" ca="1" si="122"/>
        <v>0.7750251667320297</v>
      </c>
      <c r="GI39" s="2">
        <f t="shared" ca="1" si="123"/>
        <v>0.93341348289527182</v>
      </c>
      <c r="GJ39" s="2">
        <f t="shared" ca="1" si="124"/>
        <v>-1.0845050073380653</v>
      </c>
      <c r="GK39" s="2">
        <f t="shared" ca="1" si="125"/>
        <v>1.1559140856444325</v>
      </c>
      <c r="GL39" s="2">
        <f t="shared" ca="1" si="154"/>
        <v>-0.7750251667320297</v>
      </c>
      <c r="GM39">
        <f t="shared" ca="1" si="155"/>
        <v>0.31274094987011775</v>
      </c>
      <c r="GN39">
        <f t="shared" ca="1" si="156"/>
        <v>3.0588223349537254E-2</v>
      </c>
      <c r="GO39">
        <f t="shared" ca="1" si="157"/>
        <v>-0.12627089802244951</v>
      </c>
      <c r="GP39">
        <f t="shared" ca="1" si="158"/>
        <v>-0.3352434131382464</v>
      </c>
      <c r="GQ39">
        <f t="shared" ca="1" si="159"/>
        <v>0.26917037476733846</v>
      </c>
      <c r="GR39">
        <f t="shared" ca="1" si="160"/>
        <v>9.7806901725663489E-2</v>
      </c>
      <c r="GS39">
        <f t="shared" ca="1" si="161"/>
        <v>0.23956073846533416</v>
      </c>
      <c r="GT39">
        <f t="shared" ca="1" si="162"/>
        <v>5.0321637674447302E-3</v>
      </c>
      <c r="GU39">
        <f t="shared" ca="1" si="163"/>
        <v>0.78805359190932289</v>
      </c>
      <c r="GV39">
        <f t="shared" ca="1" si="164"/>
        <v>-0.21745154745946899</v>
      </c>
      <c r="GW39">
        <f t="shared" ca="1" si="165"/>
        <v>0.88334299431997154</v>
      </c>
      <c r="GY39" s="15">
        <f t="shared" si="166"/>
        <v>0.22010510586386448</v>
      </c>
      <c r="GZ39" s="2">
        <f t="shared" si="167"/>
        <v>2.7621477208388333E-2</v>
      </c>
      <c r="HA39" s="2">
        <f t="shared" si="168"/>
        <v>7.6815446469743684E-2</v>
      </c>
      <c r="HB39" s="2">
        <f t="shared" si="169"/>
        <v>0.32454202954199651</v>
      </c>
      <c r="HC39" s="2">
        <f t="shared" si="170"/>
        <v>0.67820216128704014</v>
      </c>
      <c r="HD39" s="2">
        <f t="shared" si="171"/>
        <v>8.5109091255048203E-2</v>
      </c>
      <c r="HE39" s="2">
        <f t="shared" si="172"/>
        <v>0.23668874745791155</v>
      </c>
      <c r="HF39" s="2">
        <f t="shared" si="127"/>
        <v>-1.2882270431787481</v>
      </c>
      <c r="HG39" s="2">
        <f t="shared" si="128"/>
        <v>-1.2898794576557395</v>
      </c>
      <c r="HH39" s="2">
        <f t="shared" si="173"/>
        <v>-1.2890532504172438</v>
      </c>
      <c r="HI39" s="2">
        <f t="shared" si="129"/>
        <v>2.6171830246674452</v>
      </c>
      <c r="HJ39" s="2">
        <f t="shared" si="130"/>
        <v>0.15866795143968915</v>
      </c>
      <c r="HK39" s="2">
        <f t="shared" si="131"/>
        <v>0.35416053979779227</v>
      </c>
      <c r="HL39" s="2">
        <f t="shared" si="132"/>
        <v>0.67757963713306979</v>
      </c>
    </row>
    <row r="40" spans="1:220" ht="21" thickBot="1">
      <c r="A40" s="88" t="s">
        <v>152</v>
      </c>
      <c r="B40" s="77">
        <v>3500</v>
      </c>
      <c r="C40" s="95">
        <f t="shared" ca="1" si="490"/>
        <v>-1.9925473065233894</v>
      </c>
      <c r="D40" s="70">
        <f t="shared" ca="1" si="0"/>
        <v>-1.57097924156405</v>
      </c>
      <c r="E40" s="71">
        <f t="shared" ca="1" si="1"/>
        <v>-1.9925473065233921</v>
      </c>
      <c r="F40" s="83">
        <v>47.588395715895587</v>
      </c>
      <c r="G40" s="83">
        <v>0.23749999999999999</v>
      </c>
      <c r="H40" s="83">
        <v>4.4749999999999996</v>
      </c>
      <c r="I40" s="83">
        <v>11.83624707781021</v>
      </c>
      <c r="J40" s="83">
        <v>0.26250000000000001</v>
      </c>
      <c r="K40" s="83">
        <v>27.71285720629421</v>
      </c>
      <c r="L40" s="83">
        <v>6.375</v>
      </c>
      <c r="M40" s="83">
        <v>0.61250000000000004</v>
      </c>
      <c r="N40" s="83">
        <v>0.22499999999999998</v>
      </c>
      <c r="O40" s="83">
        <v>0.53749999999999998</v>
      </c>
      <c r="P40" s="83">
        <v>1.2500000000000001E-2</v>
      </c>
      <c r="Q40" s="84"/>
      <c r="R40" s="72">
        <f t="shared" si="491"/>
        <v>99.875</v>
      </c>
      <c r="S40" s="106">
        <f t="shared" ca="1" si="2"/>
        <v>4.1774387983600265</v>
      </c>
      <c r="T40" s="104">
        <f t="shared" ca="1" si="135"/>
        <v>0.36213588920786915</v>
      </c>
      <c r="U40" s="107">
        <f t="shared" ca="1" si="492"/>
        <v>1815.7256416609684</v>
      </c>
      <c r="V40" s="107">
        <f t="shared" ca="1" si="493"/>
        <v>1741.8472721842475</v>
      </c>
      <c r="W40" s="105">
        <f t="shared" ca="1" si="4"/>
        <v>1745.9958293086556</v>
      </c>
      <c r="X40" s="102">
        <f t="shared" ca="1" si="5"/>
        <v>2037.5359633500641</v>
      </c>
      <c r="Y40" s="102">
        <f t="shared" ca="1" si="6"/>
        <v>1906.1208084589214</v>
      </c>
      <c r="Z40" s="103">
        <f t="shared" ca="1" si="7"/>
        <v>1987.4926362743802</v>
      </c>
      <c r="AA40" s="103">
        <f t="shared" ca="1" si="8"/>
        <v>1946.6796812220293</v>
      </c>
      <c r="AB40" s="103">
        <f t="shared" ca="1" si="136"/>
        <v>77.877934061931015</v>
      </c>
      <c r="AC40" s="4">
        <v>13.3</v>
      </c>
      <c r="AD40" s="273">
        <f t="shared" ca="1" si="9"/>
        <v>13.523372414782981</v>
      </c>
      <c r="AE40" s="3">
        <f t="shared" ca="1" si="10"/>
        <v>125.82351430765458</v>
      </c>
      <c r="AF40" s="3">
        <f t="shared" ca="1" si="11"/>
        <v>215.07479686899768</v>
      </c>
      <c r="AG40" s="2">
        <f t="shared" ca="1" si="12"/>
        <v>585.02212318393515</v>
      </c>
      <c r="AH40" s="2">
        <f t="shared" ca="1" si="13"/>
        <v>261.32546964796751</v>
      </c>
      <c r="AI40" s="87">
        <f t="shared" si="14"/>
        <v>0.52632628498832446</v>
      </c>
      <c r="AJ40" s="87">
        <f t="shared" ca="1" si="15"/>
        <v>4.1774387983600381</v>
      </c>
      <c r="AK40" s="87">
        <f t="shared" ca="1" si="16"/>
        <v>0.30859420874798926</v>
      </c>
      <c r="AL40" s="86">
        <f t="shared" ca="1" si="17"/>
        <v>0.27705307519583733</v>
      </c>
      <c r="AM40" s="87">
        <f t="shared" ca="1" si="18"/>
        <v>0.36213588920786915</v>
      </c>
      <c r="AN40" s="87">
        <f t="shared" ca="1" si="19"/>
        <v>0.36213588920786999</v>
      </c>
      <c r="AO40" s="96">
        <f t="shared" ca="1" si="494"/>
        <v>41.547000397283249</v>
      </c>
      <c r="AP40" s="96">
        <f t="shared" ca="1" si="495"/>
        <v>6.18489644990896</v>
      </c>
      <c r="AQ40" s="96">
        <f t="shared" ca="1" si="496"/>
        <v>52.268103152807782</v>
      </c>
      <c r="AR40" s="73"/>
      <c r="AS40" s="53">
        <f t="shared" ca="1" si="138"/>
        <v>84.511233270936955</v>
      </c>
      <c r="AT40" s="68">
        <f t="shared" ca="1" si="139"/>
        <v>93.776052586580974</v>
      </c>
      <c r="AU40" s="74">
        <f t="shared" ca="1" si="23"/>
        <v>0.36213588920786999</v>
      </c>
      <c r="AV40" s="68">
        <f t="shared" si="497"/>
        <v>1.6950571697749834</v>
      </c>
      <c r="AW40" s="68">
        <f t="shared" ca="1" si="25"/>
        <v>1.7131611052071933</v>
      </c>
      <c r="AX40" s="69">
        <f t="shared" ca="1" si="498"/>
        <v>1832.796422063826</v>
      </c>
      <c r="AY40" s="69">
        <f t="shared" ca="1" si="499"/>
        <v>1815.7256416609675</v>
      </c>
      <c r="AZ40" s="69">
        <f t="shared" ca="1" si="28"/>
        <v>1741.8472721842472</v>
      </c>
      <c r="BA40" s="75"/>
      <c r="BB40" s="74">
        <f t="shared" ca="1" si="500"/>
        <v>0.4466933117430244</v>
      </c>
      <c r="BC40" s="74">
        <f t="shared" ca="1" si="501"/>
        <v>1.5294489002423355E-2</v>
      </c>
      <c r="BD40" s="68">
        <f t="shared" si="29"/>
        <v>0.4405685344803566</v>
      </c>
      <c r="BE40" s="68">
        <f t="shared" ca="1" si="30"/>
        <v>0.52090853801573034</v>
      </c>
      <c r="BF40" s="68">
        <f t="shared" ca="1" si="31"/>
        <v>0.32601731023708025</v>
      </c>
      <c r="BH40" s="68">
        <f t="shared" ca="1" si="32"/>
        <v>0.46797497314996955</v>
      </c>
      <c r="BI40" s="68">
        <f t="shared" ca="1" si="33"/>
        <v>0.49927886423893442</v>
      </c>
      <c r="BK40" s="53">
        <f t="shared" ca="1" si="142"/>
        <v>0.88334299431996999</v>
      </c>
      <c r="BL40" s="53">
        <f t="shared" si="34"/>
        <v>0.58877006634928863</v>
      </c>
      <c r="BM40" s="53">
        <f t="shared" si="143"/>
        <v>0.70548930755877881</v>
      </c>
      <c r="BN40" s="53">
        <f t="shared" si="35"/>
        <v>1.175335357384794</v>
      </c>
      <c r="BO40" s="53">
        <f t="shared" si="36"/>
        <v>0.719879701898538</v>
      </c>
      <c r="BP40" s="53">
        <f t="shared" si="37"/>
        <v>0.62172124668785278</v>
      </c>
      <c r="BQ40" s="54">
        <f t="shared" si="38"/>
        <v>1573.3133231077461</v>
      </c>
      <c r="BR40" s="262">
        <f t="shared" si="39"/>
        <v>12.9298994900757</v>
      </c>
      <c r="BS40" s="54">
        <f t="shared" si="144"/>
        <v>1995.464802156434</v>
      </c>
      <c r="BT40" s="67"/>
      <c r="BU40" s="73">
        <f t="shared" si="40"/>
        <v>0.79208381684246987</v>
      </c>
      <c r="BV40" s="73">
        <f t="shared" si="41"/>
        <v>2.9724655819774715E-3</v>
      </c>
      <c r="BW40" s="73">
        <f t="shared" si="42"/>
        <v>8.77795213809337E-2</v>
      </c>
      <c r="BX40" s="73">
        <f t="shared" si="43"/>
        <v>0.16473551952415047</v>
      </c>
      <c r="BY40" s="73">
        <f t="shared" si="44"/>
        <v>3.7003101212292082E-3</v>
      </c>
      <c r="BZ40" s="73">
        <f t="shared" si="45"/>
        <v>0.68766395052839235</v>
      </c>
      <c r="CA40" s="73">
        <f t="shared" si="46"/>
        <v>0.11367689015691869</v>
      </c>
      <c r="CB40" s="73">
        <f t="shared" si="47"/>
        <v>1.9764440141981286E-2</v>
      </c>
      <c r="CC40" s="73">
        <f t="shared" si="48"/>
        <v>4.7770700636942673E-3</v>
      </c>
      <c r="CD40" s="73">
        <f t="shared" si="49"/>
        <v>7.0728337390617794E-3</v>
      </c>
      <c r="CE40" s="73">
        <f t="shared" si="50"/>
        <v>1.7613075947583488E-4</v>
      </c>
      <c r="CF40" s="73">
        <f t="shared" si="502"/>
        <v>1.8844029488402849</v>
      </c>
      <c r="CG40" s="73">
        <f t="shared" si="503"/>
        <v>0.42033675299114809</v>
      </c>
      <c r="CH40" s="73">
        <f t="shared" si="504"/>
        <v>1.5774044419781933E-3</v>
      </c>
      <c r="CI40" s="73">
        <f t="shared" si="505"/>
        <v>4.65821396824685E-2</v>
      </c>
      <c r="CJ40" s="73">
        <f t="shared" si="506"/>
        <v>8.7420537961656969E-2</v>
      </c>
      <c r="CK40" s="73">
        <f t="shared" si="507"/>
        <v>1.96365120501774E-3</v>
      </c>
      <c r="CL40" s="73">
        <f t="shared" si="508"/>
        <v>0.36492404713737064</v>
      </c>
      <c r="CM40" s="73">
        <f t="shared" si="509"/>
        <v>6.0325149791810015E-2</v>
      </c>
      <c r="CN40" s="73">
        <f t="shared" si="510"/>
        <v>1.0488436220153913E-2</v>
      </c>
      <c r="CO40" s="73">
        <f t="shared" si="511"/>
        <v>2.53505762482181E-3</v>
      </c>
      <c r="CP40" s="73">
        <f t="shared" si="512"/>
        <v>3.7533552701212881E-3</v>
      </c>
      <c r="CQ40" s="73">
        <f t="shared" si="513"/>
        <v>9.3467673452873103E-5</v>
      </c>
      <c r="CR40" s="73"/>
      <c r="CS40" s="73">
        <f t="shared" ca="1" si="55"/>
        <v>0.69152796932894889</v>
      </c>
      <c r="CT40" s="73">
        <f t="shared" ca="1" si="56"/>
        <v>8.6080674320236056E-2</v>
      </c>
      <c r="CU40" s="73">
        <f t="shared" ca="1" si="57"/>
        <v>1.2969752643376622</v>
      </c>
      <c r="CV40" s="73">
        <f t="shared" ca="1" si="58"/>
        <v>2.0745839079868471</v>
      </c>
      <c r="CW40" s="73">
        <f t="shared" ca="1" si="59"/>
        <v>0.33333333333333326</v>
      </c>
      <c r="CX40" s="73">
        <f t="shared" ca="1" si="60"/>
        <v>4.1492982756126638E-2</v>
      </c>
      <c r="CY40" s="73">
        <f t="shared" ca="1" si="61"/>
        <v>0.62517368391054007</v>
      </c>
      <c r="CZ40" s="73">
        <f t="shared" si="62"/>
        <v>0.51463338609585541</v>
      </c>
      <c r="DA40" s="73">
        <f t="shared" si="63"/>
        <v>0.42033675299114809</v>
      </c>
      <c r="DB40" s="73">
        <f t="shared" si="64"/>
        <v>-0.17800755982282515</v>
      </c>
      <c r="DC40" s="73"/>
      <c r="DD40" s="73">
        <f t="shared" ca="1" si="514"/>
        <v>1832.796422063826</v>
      </c>
      <c r="DE40" s="73">
        <f t="shared" ca="1" si="515"/>
        <v>15667.860875259756</v>
      </c>
      <c r="DF40" s="73">
        <f t="shared" si="67"/>
        <v>7.4398193188149913</v>
      </c>
      <c r="DG40" s="73">
        <f t="shared" si="516"/>
        <v>1828.3919567214389</v>
      </c>
      <c r="DH40" s="73">
        <f t="shared" si="448"/>
        <v>1555.2419567214388</v>
      </c>
      <c r="DI40" s="73">
        <f t="shared" si="449"/>
        <v>13602.905801982104</v>
      </c>
      <c r="DJ40" s="73">
        <f t="shared" si="70"/>
        <v>7.4398193188149913</v>
      </c>
      <c r="DK40" s="73">
        <f t="shared" si="517"/>
        <v>1828.3919567214389</v>
      </c>
      <c r="DL40" s="73">
        <f t="shared" ca="1" si="72"/>
        <v>4.1774387983600265</v>
      </c>
      <c r="DM40" s="73">
        <f t="shared" si="73"/>
        <v>-0.17800755982282515</v>
      </c>
      <c r="DN40" s="73">
        <f t="shared" si="74"/>
        <v>0.51463338609585541</v>
      </c>
      <c r="DO40" s="73">
        <f t="shared" si="75"/>
        <v>0.42033675299114809</v>
      </c>
      <c r="DP40" s="73">
        <f t="shared" si="76"/>
        <v>1.6950571697749834</v>
      </c>
      <c r="DQ40" s="73">
        <f t="shared" ca="1" si="77"/>
        <v>15667.907998029355</v>
      </c>
      <c r="DR40" s="73">
        <f t="shared" si="518"/>
        <v>7.4395960916428558</v>
      </c>
      <c r="DS40" s="73">
        <f t="shared" ca="1" si="519"/>
        <v>1832.8659456276978</v>
      </c>
      <c r="DT40" s="73">
        <f t="shared" si="520"/>
        <v>1555.3161240253016</v>
      </c>
      <c r="DU40" s="73">
        <f t="shared" ca="1" si="521"/>
        <v>1745.9958293086556</v>
      </c>
      <c r="DV40" s="76">
        <f t="shared" ca="1" si="82"/>
        <v>1.713161105207194</v>
      </c>
      <c r="DW40" s="73">
        <f t="shared" ca="1" si="83"/>
        <v>2.6535021384936535</v>
      </c>
      <c r="DX40" s="73">
        <f t="shared" ca="1" si="522"/>
        <v>4660.1351034016543</v>
      </c>
      <c r="DY40" s="73">
        <f t="shared" ca="1" si="523"/>
        <v>1756.2205945864175</v>
      </c>
      <c r="DZ40" s="73">
        <f t="shared" ca="1" si="85"/>
        <v>2.6424058567952446</v>
      </c>
      <c r="EA40" s="73"/>
      <c r="EB40" s="73">
        <f t="shared" si="86"/>
        <v>0.79208381684246987</v>
      </c>
      <c r="EC40" s="73">
        <f t="shared" si="87"/>
        <v>2.9724655819774715E-3</v>
      </c>
      <c r="ED40" s="73">
        <f t="shared" si="88"/>
        <v>4.388976069046685E-2</v>
      </c>
      <c r="EE40" s="73">
        <f t="shared" si="89"/>
        <v>0.16473551952415047</v>
      </c>
      <c r="EF40" s="73">
        <f t="shared" si="90"/>
        <v>3.7003101212292082E-3</v>
      </c>
      <c r="EG40" s="73">
        <f t="shared" si="91"/>
        <v>0.68766395052839235</v>
      </c>
      <c r="EH40" s="73">
        <f t="shared" si="92"/>
        <v>0.11367689015691869</v>
      </c>
      <c r="EI40" s="73">
        <f t="shared" si="93"/>
        <v>9.8822200709906428E-3</v>
      </c>
      <c r="EJ40" s="73">
        <f t="shared" si="94"/>
        <v>2.3885350318471337E-3</v>
      </c>
      <c r="EK40" s="73">
        <f t="shared" si="95"/>
        <v>3.5364168695308897E-3</v>
      </c>
      <c r="EL40" s="73">
        <f t="shared" si="96"/>
        <v>8.8065379737917439E-5</v>
      </c>
      <c r="EM40" s="73">
        <f t="shared" si="524"/>
        <v>1.8246179507977116</v>
      </c>
      <c r="EN40" s="73">
        <f t="shared" si="525"/>
        <v>0.434109407120639</v>
      </c>
      <c r="EO40" s="73">
        <f t="shared" si="526"/>
        <v>1.6290893009563608E-3</v>
      </c>
      <c r="EP40" s="73">
        <f t="shared" si="527"/>
        <v>2.4054219499089396E-2</v>
      </c>
      <c r="EQ40" s="73">
        <f t="shared" si="528"/>
        <v>9.0284938527612935E-2</v>
      </c>
      <c r="ER40" s="73">
        <f t="shared" si="529"/>
        <v>2.027991733618238E-3</v>
      </c>
      <c r="ES40" s="73">
        <f t="shared" si="530"/>
        <v>0.37688106171911218</v>
      </c>
      <c r="ET40" s="73">
        <f t="shared" si="531"/>
        <v>6.230174930988696E-2</v>
      </c>
      <c r="EU40" s="73">
        <f t="shared" si="532"/>
        <v>5.4160489140590764E-3</v>
      </c>
      <c r="EV40" s="73">
        <f t="shared" si="533"/>
        <v>1.3090603601717723E-3</v>
      </c>
      <c r="EW40" s="73">
        <f t="shared" si="534"/>
        <v>1.938168408342574E-3</v>
      </c>
      <c r="EX40" s="73">
        <f t="shared" si="535"/>
        <v>4.8265106511429315E-5</v>
      </c>
      <c r="EY40" s="73">
        <f t="shared" si="536"/>
        <v>1</v>
      </c>
      <c r="EZ40" s="73">
        <f t="shared" si="100"/>
        <v>4.65821396824685E-2</v>
      </c>
      <c r="FA40" s="73">
        <f t="shared" si="101"/>
        <v>0.46849629711559476</v>
      </c>
      <c r="FB40" s="73">
        <f t="shared" si="102"/>
        <v>1.4407103594971129</v>
      </c>
      <c r="FC40" s="73">
        <f t="shared" si="537"/>
        <v>1.0074355305318468</v>
      </c>
      <c r="FD40" s="73">
        <f t="shared" si="538"/>
        <v>2.1503596436820427</v>
      </c>
      <c r="FE40" s="73">
        <f t="shared" ca="1" si="105"/>
        <v>0.15354966544206561</v>
      </c>
      <c r="FF40" s="73">
        <f t="shared" ca="1" si="539"/>
        <v>1.0606096857226027E-2</v>
      </c>
      <c r="FG40" s="73">
        <f t="shared" ca="1" si="540"/>
        <v>6.9072744813160877E-2</v>
      </c>
      <c r="FH40" s="73">
        <f t="shared" ca="1" si="541"/>
        <v>0.18327465035810289</v>
      </c>
      <c r="FI40" s="73">
        <f t="shared" ca="1" si="147"/>
        <v>6.6370328476692761E-2</v>
      </c>
      <c r="FJ40" s="73">
        <f t="shared" ca="1" si="542"/>
        <v>0.36213588920786838</v>
      </c>
      <c r="FK40" s="73">
        <f t="shared" ca="1" si="543"/>
        <v>6.6370328476692761E-2</v>
      </c>
      <c r="FL40" s="73">
        <f t="shared" ca="1" si="109"/>
        <v>6.63703284766929E-2</v>
      </c>
      <c r="FM40" s="73"/>
      <c r="FN40" s="73"/>
      <c r="FO40" s="73"/>
      <c r="FP40" s="73">
        <f t="shared" ca="1" si="477"/>
        <v>1.8755210517316196</v>
      </c>
      <c r="FQ40" s="73">
        <f t="shared" ca="1" si="478"/>
        <v>0.12447894826838035</v>
      </c>
      <c r="FR40" s="73">
        <f t="shared" si="479"/>
        <v>0.33333333333333331</v>
      </c>
      <c r="FS40" s="73">
        <f t="shared" ca="1" si="544"/>
        <v>4.1492982756126784E-2</v>
      </c>
      <c r="FT40" s="73">
        <f t="shared" ca="1" si="545"/>
        <v>0.62517368391053985</v>
      </c>
      <c r="FU40" s="73">
        <f t="shared" si="546"/>
        <v>20.026666666666664</v>
      </c>
      <c r="FV40" s="73">
        <f t="shared" ca="1" si="547"/>
        <v>2.9812708110277093</v>
      </c>
      <c r="FW40" s="73">
        <f t="shared" ca="1" si="548"/>
        <v>25.194499461594756</v>
      </c>
      <c r="FX40" s="73">
        <f t="shared" ca="1" si="549"/>
        <v>48.202436939289129</v>
      </c>
      <c r="FY40" s="73">
        <f t="shared" ca="1" si="550"/>
        <v>41.547000397283249</v>
      </c>
      <c r="FZ40" s="73">
        <f t="shared" ca="1" si="551"/>
        <v>6.1848964499089831</v>
      </c>
      <c r="GA40" s="73">
        <f t="shared" ca="1" si="552"/>
        <v>52.268103152807761</v>
      </c>
      <c r="GB40" s="73">
        <f t="shared" ca="1" si="553"/>
        <v>93.776052586580974</v>
      </c>
      <c r="GC40" s="73">
        <f t="shared" ca="1" si="119"/>
        <v>4177438798.3600264</v>
      </c>
      <c r="GD40" s="2">
        <f t="shared" si="152"/>
        <v>38</v>
      </c>
      <c r="GE40">
        <f t="shared" ca="1" si="153"/>
        <v>1586.1318634412974</v>
      </c>
      <c r="GF40">
        <f t="shared" ca="1" si="120"/>
        <v>1586.1117382607688</v>
      </c>
      <c r="GG40">
        <f t="shared" ca="1" si="121"/>
        <v>1882.3781219298171</v>
      </c>
      <c r="GH40" s="2">
        <f t="shared" ca="1" si="122"/>
        <v>0.7750251667320297</v>
      </c>
      <c r="GI40" s="2">
        <f t="shared" ca="1" si="123"/>
        <v>0.93341348289527182</v>
      </c>
      <c r="GJ40" s="2">
        <f t="shared" ca="1" si="124"/>
        <v>-1.0845050073380653</v>
      </c>
      <c r="GK40" s="2">
        <f t="shared" ca="1" si="125"/>
        <v>1.1559140856444325</v>
      </c>
      <c r="GL40" s="2">
        <f t="shared" ca="1" si="154"/>
        <v>-0.7750251667320297</v>
      </c>
      <c r="GM40">
        <f t="shared" ca="1" si="155"/>
        <v>0.31274094987011775</v>
      </c>
      <c r="GN40">
        <f t="shared" ca="1" si="156"/>
        <v>3.0588223349537254E-2</v>
      </c>
      <c r="GO40">
        <f t="shared" ca="1" si="157"/>
        <v>-0.12627089802244951</v>
      </c>
      <c r="GP40">
        <f t="shared" ca="1" si="158"/>
        <v>-0.3352434131382464</v>
      </c>
      <c r="GQ40">
        <f t="shared" ca="1" si="159"/>
        <v>0.26917037476733846</v>
      </c>
      <c r="GR40">
        <f t="shared" ca="1" si="160"/>
        <v>9.7806901725663489E-2</v>
      </c>
      <c r="GS40">
        <f t="shared" ca="1" si="161"/>
        <v>0.23956073846533416</v>
      </c>
      <c r="GT40">
        <f t="shared" ca="1" si="162"/>
        <v>5.0321637674447302E-3</v>
      </c>
      <c r="GU40">
        <f t="shared" ca="1" si="163"/>
        <v>0.78805359190932289</v>
      </c>
      <c r="GV40">
        <f t="shared" ca="1" si="164"/>
        <v>-0.21745154745946899</v>
      </c>
      <c r="GW40">
        <f t="shared" ca="1" si="165"/>
        <v>0.88334299431997154</v>
      </c>
      <c r="GY40" s="15">
        <f t="shared" si="166"/>
        <v>0.22010510586386448</v>
      </c>
      <c r="GZ40" s="2">
        <f t="shared" si="167"/>
        <v>2.7621477208388333E-2</v>
      </c>
      <c r="HA40" s="2">
        <f t="shared" si="168"/>
        <v>7.6815446469743684E-2</v>
      </c>
      <c r="HB40" s="2">
        <f t="shared" si="169"/>
        <v>0.32454202954199651</v>
      </c>
      <c r="HC40" s="2">
        <f t="shared" si="170"/>
        <v>0.67820216128704014</v>
      </c>
      <c r="HD40" s="2">
        <f t="shared" si="171"/>
        <v>8.5109091255048203E-2</v>
      </c>
      <c r="HE40" s="2">
        <f t="shared" si="172"/>
        <v>0.23668874745791155</v>
      </c>
      <c r="HF40" s="2">
        <f t="shared" si="127"/>
        <v>-1.2882270431787481</v>
      </c>
      <c r="HG40" s="2">
        <f t="shared" si="128"/>
        <v>-1.2898794576557395</v>
      </c>
      <c r="HH40" s="2">
        <f t="shared" si="173"/>
        <v>-1.2890532504172438</v>
      </c>
      <c r="HI40" s="2">
        <f t="shared" si="129"/>
        <v>2.6171830246674452</v>
      </c>
      <c r="HJ40" s="2">
        <f t="shared" si="130"/>
        <v>0.15866795143968915</v>
      </c>
      <c r="HK40" s="2">
        <f t="shared" si="131"/>
        <v>0.35416053979779227</v>
      </c>
      <c r="HL40" s="2">
        <f t="shared" si="132"/>
        <v>0.67757963713306979</v>
      </c>
    </row>
    <row r="41" spans="1:220" s="318" customFormat="1" ht="21" thickTop="1">
      <c r="A41" s="297" t="s">
        <v>312</v>
      </c>
      <c r="B41" s="298">
        <v>3500</v>
      </c>
      <c r="C41" s="299">
        <f t="shared" ref="C41:C79" ca="1" si="554">E41</f>
        <v>-2.9255754026941787</v>
      </c>
      <c r="D41" s="300">
        <f t="shared" ref="D41:D79" ca="1" si="555">5.5976-24505/(U41+273.15)+0.8099*LOG(U41+273.15)+0.0937*(S41*10*1000-1)/(273.15+U41)+$D$4</f>
        <v>-2.6063666539629677</v>
      </c>
      <c r="E41" s="301">
        <f t="shared" ref="E41:E79" ca="1" si="556">12.985-25026/(U41+273.15)-1.1786*LOG(U41+273.15)+0.0458*(S41*10*1000-1)/(U41+273.15)+$E$4</f>
        <v>-2.9255754026941787</v>
      </c>
      <c r="F41" s="77">
        <v>43.75007465914981</v>
      </c>
      <c r="G41" s="77">
        <v>2.4043240006884772</v>
      </c>
      <c r="H41" s="77">
        <v>9.7127910166755633</v>
      </c>
      <c r="I41" s="77">
        <v>11.807910004965791</v>
      </c>
      <c r="J41" s="77">
        <v>0.14948957426733095</v>
      </c>
      <c r="K41" s="77">
        <v>19.52</v>
      </c>
      <c r="L41" s="77">
        <v>9.3272767202174993</v>
      </c>
      <c r="M41" s="77">
        <v>1.9761674249553864</v>
      </c>
      <c r="N41" s="77">
        <v>0.91414572487119461</v>
      </c>
      <c r="O41" s="328">
        <v>0.01</v>
      </c>
      <c r="P41" s="329">
        <v>0.439461465</v>
      </c>
      <c r="Q41" s="302"/>
      <c r="R41" s="303">
        <f t="shared" ref="R41:R79" si="557">SUM(F41:P41)</f>
        <v>100.01164059079105</v>
      </c>
      <c r="S41" s="304">
        <f t="shared" ref="S41:S79" ca="1" si="558">AJ41</f>
        <v>3.6466205703966197</v>
      </c>
      <c r="T41" s="304">
        <f t="shared" ref="T41:T79" ca="1" si="559">AM41</f>
        <v>0.34551568184327353</v>
      </c>
      <c r="U41" s="305">
        <f t="shared" ref="U41:U79" ca="1" si="560">AY41</f>
        <v>1667.4473244360665</v>
      </c>
      <c r="V41" s="305">
        <f t="shared" ref="V41:V79" ca="1" si="561">AZ41</f>
        <v>1605.7824217842376</v>
      </c>
      <c r="W41" s="305">
        <f t="shared" ref="W41:W79" ca="1" si="562">DT41+54*S41-2*S41^2-19.93*Q41</f>
        <v>1614.3224736621337</v>
      </c>
      <c r="X41" s="306">
        <f t="shared" ref="X41:X79" ca="1" si="563">V41+674.3*(MAX(BD41:BI41))-13.3*S41</f>
        <v>1650.9446291393542</v>
      </c>
      <c r="Y41" s="306">
        <f t="shared" ref="Y41:Y79" ca="1" si="564">V41+674.3*(MIN(BD41:BI41))-13.3*S41</f>
        <v>1567.1170687282843</v>
      </c>
      <c r="Z41" s="307">
        <f t="shared" ref="Z41:Z79" ca="1" si="565">V41+674.3*(BB41)-AC41*S41</f>
        <v>1622.6369082162655</v>
      </c>
      <c r="AA41" s="307">
        <f t="shared" ref="AA41:AA79" ca="1" si="566">V41+AH41-S41*AD41</f>
        <v>1614.0046735289134</v>
      </c>
      <c r="AB41" s="307">
        <f t="shared" ref="AB41:AB79" ca="1" si="567">SQRT((STDEV(X41:Z41))^2+(Z41-AA41)^2)</f>
        <v>43.508490319490924</v>
      </c>
      <c r="AC41" s="308">
        <v>13.3</v>
      </c>
      <c r="AD41" s="309">
        <f t="shared" ref="AD41:AD79" ca="1" si="568">10000*$AD$1*$AD$2*V41/AF41</f>
        <v>12.52097046794395</v>
      </c>
      <c r="AE41" s="303">
        <f t="shared" ref="AE41:AE79" ca="1" si="569">IF(V41&gt;1890,130,21.1+0.061*V41-7.6*10^-5*(V41-1600)^2)</f>
        <v>119.05018656231</v>
      </c>
      <c r="AF41" s="303">
        <f t="shared" ref="AF41:AF79" ca="1" si="570">130+11.4*LN(V41)</f>
        <v>214.14757703965881</v>
      </c>
      <c r="AG41" s="310">
        <f t="shared" ref="AG41:AG79" ca="1" si="571">1000*AE41/AF41</f>
        <v>555.92590963689793</v>
      </c>
      <c r="AH41" s="310">
        <f t="shared" ref="AH41:AH79" ca="1" si="572">AG41*BB41</f>
        <v>53.881480214409123</v>
      </c>
      <c r="AI41" s="311">
        <f t="shared" ref="AI41:AI79" si="573">((3*CG41)^-2)*((1-CI41)^(7/2))*((1-CH41)^7)</f>
        <v>0.4403122550406281</v>
      </c>
      <c r="AJ41" s="311">
        <f t="shared" ref="AJ41:AJ79" ca="1" si="574">(231.5+0.186*V41+0.1244*V41*(LN(AI41))-528.5*AI41^0.5+103.3*CH41+69.9*(CO41+CN41)+77.3*CI41/(CI41+CG41))/10</f>
        <v>3.6466205703966255</v>
      </c>
      <c r="AK41" s="311">
        <f t="shared" ref="AK41:AK79" ca="1" si="575">0.0583+0.00252*F41+0.028*S41-0.0091*(M41+N41)-0.013383*D41</f>
        <v>0.27923471937872735</v>
      </c>
      <c r="AL41" s="312">
        <f t="shared" ref="AL41:AL79" ca="1" si="576">(CT41/CU41)/(CJ41/CL41)</f>
        <v>0.25637678685842546</v>
      </c>
      <c r="AM41" s="311">
        <f t="shared" ref="AM41:AM79" ca="1" si="577">0.21+0.008*S41+0.0025*F41-3.63*10^-4*(M41+N41)^2</f>
        <v>0.34551568184327353</v>
      </c>
      <c r="AN41" s="311">
        <f t="shared" ref="AN41:AN79" ca="1" si="578">FJ41</f>
        <v>0.34551568184327347</v>
      </c>
      <c r="AO41" s="313">
        <f t="shared" ref="AO41:AO79" ca="1" si="579">FY41</f>
        <v>41.227044405293739</v>
      </c>
      <c r="AP41" s="313">
        <f t="shared" ref="AP41:AP79" ca="1" si="580">FZ41</f>
        <v>7.8910577716749559</v>
      </c>
      <c r="AQ41" s="313">
        <f t="shared" ref="AQ41:AQ79" ca="1" si="581">GA41</f>
        <v>50.881897823031309</v>
      </c>
      <c r="AR41" s="310"/>
      <c r="AS41" s="53">
        <f t="shared" ca="1" si="138"/>
        <v>79.887677391918515</v>
      </c>
      <c r="AT41" s="314">
        <f t="shared" ref="AT41:AT79" ca="1" si="582">100*CU41/(CU41+CT41)</f>
        <v>91.997490880280338</v>
      </c>
      <c r="AU41" s="315">
        <f t="shared" ref="AU41:AU79" ca="1" si="583">(CX41/CY41)/(FH41)</f>
        <v>0.34551568184327347</v>
      </c>
      <c r="AV41" s="314">
        <f t="shared" ref="AV41:AV79" si="584">(0.666-(-0.049*CK41+0.027*CJ41))/(1*CL41+0.259*CK41+0.299*CJ41)</f>
        <v>2.3057606272195814</v>
      </c>
      <c r="AW41" s="314">
        <f t="shared" ref="AW41:AW79" ca="1" si="585">CY41/CL41</f>
        <v>2.3494085103746296</v>
      </c>
      <c r="AX41" s="316">
        <f t="shared" ref="AX41:AX79" ca="1" si="586">(DE41/DF41)-273.15</f>
        <v>1671.4697847336124</v>
      </c>
      <c r="AY41" s="316">
        <f t="shared" ref="AY41:AY79" ca="1" si="587">(DK41-273.15)+54*DL41+2*DL41^2</f>
        <v>1667.4473244360665</v>
      </c>
      <c r="AZ41" s="316">
        <f t="shared" ref="AZ41:AZ79" ca="1" si="588">(15294.6+1318.8*DL41+2.4834*DL41^2)/(8.048+2.8352*LN(DV41)+2.097*LN(1.5*DN41)+2.575*LN(3*DO41)-1.41*DM41+0.222*Q41+0.5*DL41)</f>
        <v>1605.7824217842376</v>
      </c>
      <c r="BA41" s="317"/>
      <c r="BB41" s="315">
        <f t="shared" ref="BB41:BB79" ca="1" si="589">AVERAGE(BD41:BF41,BI41)</f>
        <v>9.6922052526031255E-2</v>
      </c>
      <c r="BC41" s="315">
        <f t="shared" ref="BC41:BC79" ca="1" si="590">STDEV(BE41,BI41)</f>
        <v>1.6923957932130432E-2</v>
      </c>
      <c r="BD41" s="314">
        <f t="shared" ref="BD41:BD79" si="591">IF(-1.997+0.0316*F41-0.041*I41+0.0458*K41+0.0235*L41&lt;0,0,-1.997+0.0316*F41-0.041*I41+0.0458*K41+0.0235*L41)</f>
        <v>1.4585051950647798E-2</v>
      </c>
      <c r="BE41" s="314">
        <f t="shared" ref="BE41:BE79" ca="1" si="592">IF(-2.95-0.0556*I41-0.176*N41+0.00274*V41-0.1446*S41&lt;0,0,-2.95-0.0556*I41-0.176*N41+0.00274*V41-0.1446*S41)</f>
        <v>0.10513305735603107</v>
      </c>
      <c r="BF41" s="314">
        <f t="shared" ref="BF41:BF79" ca="1" si="593">IF((V41+5.14*S41^2-132.9*S41-1120.7)/(465.3+233.7*S41^0.5+5.14*S41^2-132.9*S41)&lt;0,0,(V41+5.14*S41^2-132.9*S41-1120.7)/(465.3+233.7*S41^0.5+5.14*S41^2-132.9*S41))</f>
        <v>0.13890295260476243</v>
      </c>
      <c r="BH41" s="314">
        <f t="shared" ref="BH41:BH79" ca="1" si="594">IF((-117.2-1.62*S41+2.12*F41+4.2*K41-3.93*I41)/100&lt;0,0,(-117.2-1.62*S41+2.12*F41+4.2*K41-3.93*I41)/100)</f>
        <v>5.2215466338395092E-2</v>
      </c>
      <c r="BI41" s="314">
        <f t="shared" ref="BI41:BI79" ca="1" si="595">IF((-105.1-2.34*S41+1.789*F41+3.84*K41-2.26*I41)/100&lt;0,0,(-105.1-2.34*S41+1.789*F41+3.84*K41-2.26*I41)/100)</f>
        <v>0.12906714819268242</v>
      </c>
      <c r="BK41" s="314">
        <f t="shared" ref="BK41:BK79" ca="1" si="596">GW41</f>
        <v>0.56259865051211211</v>
      </c>
      <c r="BL41" s="314">
        <f t="shared" ref="BL41:BL79" si="597">(HL41*K41-38.12*HK41)/(HL41*K41-K41*HK41)</f>
        <v>2.457279967083479E-2</v>
      </c>
      <c r="BM41" s="314">
        <f t="shared" ref="BM41:BM79" si="598">(0.98/BL41-0.9*(LN(BL41))^2+0.07*(LN(BL41)^4))^-1</f>
        <v>2.4554454856853196E-2</v>
      </c>
      <c r="BN41" s="314">
        <f t="shared" ref="BN41:BN79" si="599">6.2819*HD41^2-14.7789*HD41^3+0.00825*(1/HD41)^2</f>
        <v>0.28739456065861835</v>
      </c>
      <c r="BO41" s="314">
        <f t="shared" ref="BO41:BO79" si="600">HH41+HI41*HC41+HJ41/HC41</f>
        <v>0.40252954269776464</v>
      </c>
      <c r="BP41" s="314">
        <f t="shared" ref="BP41:BP79" si="601">-2.5345+5.329*(HE41+0.348*HC41)+0.3012/(HE41+0.348*HC41)</f>
        <v>2.1375990051228477E-2</v>
      </c>
      <c r="BQ41" s="316">
        <f t="shared" ref="BQ41:BQ79" si="602">1020+24.4*K41-0.16*K41^2</f>
        <v>1435.323136</v>
      </c>
      <c r="BR41" s="319">
        <f t="shared" ref="BR41:BR79" si="603">(K41^-0.52)*EXP(0.13+0.15*K41)</f>
        <v>4.5396568154604902</v>
      </c>
      <c r="BS41" s="316">
        <f t="shared" ref="BS41:BS79" si="604">EXP(7.12-0.06/(BR41^4)+0.187*LN(BR41))</f>
        <v>1640.5091700048415</v>
      </c>
      <c r="BU41" s="310">
        <f t="shared" ref="BU41:BU79" si="605">F41/60.08</f>
        <v>0.72819698167692759</v>
      </c>
      <c r="BV41" s="310">
        <f t="shared" ref="BV41:BV79" si="606">G41/79.9</f>
        <v>3.0091664589342641E-2</v>
      </c>
      <c r="BW41" s="310">
        <f t="shared" ref="BW41:BW79" si="607">H41*2/101.96</f>
        <v>0.19052159703169017</v>
      </c>
      <c r="BX41" s="310">
        <f t="shared" ref="BX41:BX79" si="608">I41/71.85</f>
        <v>0.16434112741775633</v>
      </c>
      <c r="BY41" s="310">
        <f t="shared" ref="BY41:BY79" si="609">J41/70.94</f>
        <v>2.1072677511605716E-3</v>
      </c>
      <c r="BZ41" s="310">
        <f t="shared" ref="BZ41:BZ79" si="610">K41/40.3</f>
        <v>0.48436724565756828</v>
      </c>
      <c r="CA41" s="310">
        <f t="shared" ref="CA41:CA79" si="611">L41/56.08</f>
        <v>0.16632091155879991</v>
      </c>
      <c r="CB41" s="310">
        <f t="shared" ref="CB41:CB79" si="612">M41*2/61.98</f>
        <v>6.3767906581329026E-2</v>
      </c>
      <c r="CC41" s="310">
        <f t="shared" ref="CC41:CC79" si="613">N41*2/94.2</f>
        <v>1.9408614116161245E-2</v>
      </c>
      <c r="CD41" s="310">
        <f t="shared" ref="CD41:CD79" si="614">2*O41/151.99</f>
        <v>1.3158760444766102E-4</v>
      </c>
      <c r="CE41" s="310">
        <f t="shared" ref="CE41:CE79" si="615">2*P41/141.94</f>
        <v>6.1922145272650412E-3</v>
      </c>
      <c r="CF41" s="310">
        <f t="shared" ref="CF41:CF79" si="616">SUM(BU41:CE41)</f>
        <v>1.8554471185124486</v>
      </c>
      <c r="CG41" s="310">
        <f t="shared" ref="CG41:CG79" si="617">BU41/$CF41</f>
        <v>0.39246442240872842</v>
      </c>
      <c r="CH41" s="310">
        <f t="shared" ref="CH41:CH79" si="618">BV41/$CF41</f>
        <v>1.6218012515208609E-2</v>
      </c>
      <c r="CI41" s="310">
        <f t="shared" ref="CI41:CI79" si="619">BW41/$CF41</f>
        <v>0.10268231044193563</v>
      </c>
      <c r="CJ41" s="310">
        <f t="shared" ref="CJ41:CJ79" si="620">BX41/$CF41</f>
        <v>8.8572250741110914E-2</v>
      </c>
      <c r="CK41" s="310">
        <f t="shared" ref="CK41:CK79" si="621">BY41/$CF41</f>
        <v>1.1357196495311668E-3</v>
      </c>
      <c r="CL41" s="310">
        <f t="shared" ref="CL41:CL79" si="622">BZ41/$CF41</f>
        <v>0.26105149579573889</v>
      </c>
      <c r="CM41" s="310">
        <f t="shared" ref="CM41:CM79" si="623">CA41/$CF41</f>
        <v>8.9639262633441644E-2</v>
      </c>
      <c r="CN41" s="310">
        <f t="shared" ref="CN41:CN79" si="624">CB41/$CF41</f>
        <v>3.4367946111260296E-2</v>
      </c>
      <c r="CO41" s="310">
        <f t="shared" ref="CO41:CO79" si="625">CC41/$CF41</f>
        <v>1.0460343451729061E-2</v>
      </c>
      <c r="CP41" s="310">
        <f t="shared" ref="CP41:CP79" si="626">CD41/CF41</f>
        <v>7.0919619931371364E-5</v>
      </c>
      <c r="CQ41" s="310">
        <f t="shared" ref="CQ41:CQ79" si="627">CE41/CF41</f>
        <v>3.3373166313839606E-3</v>
      </c>
      <c r="CR41" s="310"/>
      <c r="CS41" s="310">
        <f t="shared" ref="CS41:CS79" ca="1" si="628">AO41/60.08</f>
        <v>0.68620247012805824</v>
      </c>
      <c r="CT41" s="310">
        <f t="shared" ref="CT41:CT79" ca="1" si="629">AP41/71.85</f>
        <v>0.10982683050347887</v>
      </c>
      <c r="CU41" s="310">
        <f t="shared" ref="CU41:CU79" ca="1" si="630">AQ41/40.3</f>
        <v>1.2625781097526381</v>
      </c>
      <c r="CV41" s="310">
        <f t="shared" ref="CV41:CV79" ca="1" si="631">SUM(CS41:CU41)</f>
        <v>2.0586074103841749</v>
      </c>
      <c r="CW41" s="310">
        <f t="shared" ref="CW41:CW79" ca="1" si="632">CS41/$CV41</f>
        <v>0.33333333333333331</v>
      </c>
      <c r="CX41" s="310">
        <f t="shared" ref="CX41:CX79" ca="1" si="633">CT41/$CV41</f>
        <v>5.3350060798131059E-2</v>
      </c>
      <c r="CY41" s="310">
        <f t="shared" ref="CY41:CY79" ca="1" si="634">CU41/$CV41</f>
        <v>0.61331660586853576</v>
      </c>
      <c r="CZ41" s="310">
        <f t="shared" ref="CZ41:CZ79" si="635">CL41+CJ41+CM41+CK41</f>
        <v>0.44039872881982262</v>
      </c>
      <c r="DA41" s="310">
        <f t="shared" ref="DA41:DA79" si="636">CG41</f>
        <v>0.39246442240872842</v>
      </c>
      <c r="DB41" s="310">
        <f t="shared" ref="DB41:DB79" si="637">(7/2)*LN(1-CI41)+7*LN(1-CH41)</f>
        <v>-0.49366533470917551</v>
      </c>
      <c r="DC41" s="310"/>
      <c r="DD41" s="310">
        <f t="shared" ref="DD41:DD79" ca="1" si="638">(DE41/DF41)-273.15</f>
        <v>1671.4697847336124</v>
      </c>
      <c r="DE41" s="310">
        <f t="shared" ref="DE41:DE79" ca="1" si="639">113.1*1000/8.3144+(DL41*10^9-10^5)*4.11*(10^-6)/8.3144</f>
        <v>15405.46516216806</v>
      </c>
      <c r="DF41" s="310">
        <f t="shared" ref="DF41:DF79" si="640">52.05/8.3144+2*LN(AV41)+2*LN(1.5*CZ41)+2*LN(3*DA41)-DB41</f>
        <v>7.9220962797508552</v>
      </c>
      <c r="DG41" s="310">
        <f t="shared" ref="DG41:DG79" si="641">DI41/DJ41</f>
        <v>1717.0841304657695</v>
      </c>
      <c r="DH41" s="310">
        <f t="shared" ref="DH41:DH79" si="642">DG41-273.15</f>
        <v>1443.9341304657696</v>
      </c>
      <c r="DI41" s="310">
        <f t="shared" si="449"/>
        <v>13602.905801982104</v>
      </c>
      <c r="DJ41" s="310">
        <f t="shared" ref="DJ41:DJ79" si="643">52.05/8.3144+2*LN(AV41)+2*LN(1.5*CZ41)+2*LN(3*DA41)-DB41</f>
        <v>7.9220962797508552</v>
      </c>
      <c r="DK41" s="310">
        <f t="shared" ref="DK41:DK79" si="644">DI41/DJ41</f>
        <v>1717.0841304657695</v>
      </c>
      <c r="DL41" s="310">
        <f t="shared" ref="DL41:DL79" ca="1" si="645">S41</f>
        <v>3.6466205703966197</v>
      </c>
      <c r="DM41" s="310">
        <f t="shared" ref="DM41:DM79" si="646">(7/2)*LN(1-CI41)+7*LN(1-CH41)</f>
        <v>-0.49366533470917551</v>
      </c>
      <c r="DN41" s="310">
        <f t="shared" ref="DN41:DN79" si="647">CL41+CJ41+CK41+CM41</f>
        <v>0.44039872881982262</v>
      </c>
      <c r="DO41" s="310">
        <f t="shared" ref="DO41:DO79" si="648">CG41</f>
        <v>0.39246442240872842</v>
      </c>
      <c r="DP41" s="310">
        <f t="shared" ref="DP41:DP79" si="649">(0.666-(-0.049*CK41+0.027*CJ41))/(CL41+0.259*CK41+0.299*CJ41)</f>
        <v>2.3057606272195814</v>
      </c>
      <c r="DQ41" s="310">
        <f t="shared" ref="DQ41:DQ79" ca="1" si="650">13603+4.943*10^-7*(S41*10^9-10^-5)</f>
        <v>15405.524547947043</v>
      </c>
      <c r="DR41" s="310">
        <f t="shared" ref="DR41:DR79" si="651">6.26+2*LN(DP41)+2*LN(1.5*DN41)+2*LN(3*DO41)-DM41</f>
        <v>7.9218730525787198</v>
      </c>
      <c r="DS41" s="310">
        <f t="shared" ref="DS41:DS79" ca="1" si="652">(DQ41/DR41)-273.15</f>
        <v>1671.5320777987918</v>
      </c>
      <c r="DT41" s="310">
        <f t="shared" ref="DT41:DT79" si="653">(13603+4.943*10^-7*(0.0001*10^9-10^-5))/(6.26+2*LN(DP41)+2*LN(1.5*DN41)+2*LN(3*DO41)-DM41)-273.15</f>
        <v>1444.0006460295958</v>
      </c>
      <c r="DU41" s="310">
        <f t="shared" ref="DU41:DU79" ca="1" si="654">DT41+54*DL41-2*DL41^2</f>
        <v>1614.3224736621337</v>
      </c>
      <c r="DV41" s="320">
        <f t="shared" ref="DV41:DV79" ca="1" si="655">CY41/CL41</f>
        <v>2.3494085103746296</v>
      </c>
      <c r="DW41" s="310">
        <f t="shared" ref="DW41:DW79" ca="1" si="656">LN(DV41)+2.158+6.213*10^-2*Q41-5.115*10^-2*(M41+N41)</f>
        <v>2.8643240811483288</v>
      </c>
      <c r="DX41" s="310">
        <f t="shared" ref="DX41:DX79" ca="1" si="657">55.09*DL41+4430</f>
        <v>4630.8923272231496</v>
      </c>
      <c r="DY41" s="310">
        <f t="shared" ref="DY41:DY79" ca="1" si="658">DX41/DW41</f>
        <v>1616.748732345465</v>
      </c>
      <c r="DZ41" s="310">
        <f t="shared" ref="DZ41:DZ79" ca="1" si="659">CY41/(CL41*CG41^0.5)</f>
        <v>3.7502342078859119</v>
      </c>
      <c r="EA41" s="310"/>
      <c r="EB41" s="310">
        <f t="shared" ref="EB41:EB79" si="660">F41/60.08</f>
        <v>0.72819698167692759</v>
      </c>
      <c r="EC41" s="310">
        <f t="shared" ref="EC41:EC79" si="661">G41/79.9</f>
        <v>3.0091664589342641E-2</v>
      </c>
      <c r="ED41" s="310">
        <f t="shared" ref="ED41:ED79" si="662">H41/101.96</f>
        <v>9.5260798515845083E-2</v>
      </c>
      <c r="EE41" s="310">
        <f t="shared" ref="EE41:EE79" si="663">I41/71.85</f>
        <v>0.16434112741775633</v>
      </c>
      <c r="EF41" s="310">
        <f t="shared" ref="EF41:EF79" si="664">J41/70.94</f>
        <v>2.1072677511605716E-3</v>
      </c>
      <c r="EG41" s="310">
        <f t="shared" ref="EG41:EG79" si="665">K41/40.3</f>
        <v>0.48436724565756828</v>
      </c>
      <c r="EH41" s="310">
        <f t="shared" ref="EH41:EH79" si="666">L41/56.08</f>
        <v>0.16632091155879991</v>
      </c>
      <c r="EI41" s="310">
        <f t="shared" ref="EI41:EI79" si="667">M41/61.98</f>
        <v>3.1883953290664513E-2</v>
      </c>
      <c r="EJ41" s="310">
        <f t="shared" ref="EJ41:EJ79" si="668">N41/94.2</f>
        <v>9.7043070580806225E-3</v>
      </c>
      <c r="EK41" s="310">
        <f t="shared" ref="EK41:EK79" si="669">O41/151.99</f>
        <v>6.5793802223830508E-5</v>
      </c>
      <c r="EL41" s="310">
        <f t="shared" ref="EL41:EL79" si="670">P41/141.94</f>
        <v>3.0961072636325206E-3</v>
      </c>
      <c r="EM41" s="310">
        <f t="shared" ref="EM41:EM79" si="671">SUM(EB41:EL41)</f>
        <v>1.7154361585820022</v>
      </c>
      <c r="EN41" s="310">
        <f t="shared" ref="EN41:EN79" si="672">EB41/$EM41</f>
        <v>0.42449669609323321</v>
      </c>
      <c r="EO41" s="310">
        <f t="shared" ref="EO41:EO79" si="673">EC41/$EM41</f>
        <v>1.7541698907767418E-2</v>
      </c>
      <c r="EP41" s="310">
        <f t="shared" ref="EP41:EP79" si="674">ED41/$EM41</f>
        <v>5.5531532339034219E-2</v>
      </c>
      <c r="EQ41" s="310">
        <f t="shared" ref="EQ41:EQ79" si="675">EE41/$EM41</f>
        <v>9.5801366081499917E-2</v>
      </c>
      <c r="ER41" s="310">
        <f t="shared" ref="ER41:ER79" si="676">EF41/$EM41</f>
        <v>1.2284151413145339E-3</v>
      </c>
      <c r="ES41" s="310">
        <f t="shared" ref="ES41:ES79" si="677">EG41/$EM41</f>
        <v>0.28235807158102078</v>
      </c>
      <c r="ET41" s="310">
        <f t="shared" ref="ET41:ET79" si="678">EH41/$EM41</f>
        <v>9.6955465656199391E-2</v>
      </c>
      <c r="EU41" s="310">
        <f t="shared" ref="EU41:EU79" si="679">EI41/$EM41</f>
        <v>1.8586499492362414E-2</v>
      </c>
      <c r="EV41" s="310">
        <f t="shared" ref="EV41:EV79" si="680">EJ41/$EM41</f>
        <v>5.657049380434132E-3</v>
      </c>
      <c r="EW41" s="310">
        <f t="shared" ref="EW41:EW79" si="681">EK41/$EM41</f>
        <v>3.8353978896082246E-5</v>
      </c>
      <c r="EX41" s="310">
        <f t="shared" ref="EX41:EX79" si="682">EL41/$EM41</f>
        <v>1.8048513482377543E-3</v>
      </c>
      <c r="EY41" s="310">
        <f t="shared" ref="EY41:EY79" si="683">SUM(EN41:EX41)</f>
        <v>0.99999999999999978</v>
      </c>
      <c r="EZ41" s="310">
        <f t="shared" ref="EZ41:EZ79" si="684">IF(CI41&lt;CN41+CO41+2*(CM41+CL41),CI41,CN41+CO41+2*(CM41+CL41))</f>
        <v>0.10268231044193563</v>
      </c>
      <c r="FA41" s="310">
        <f t="shared" ref="FA41:FA79" si="685">CG41+CH41+EZ41</f>
        <v>0.51136474536587262</v>
      </c>
      <c r="FB41" s="310">
        <f t="shared" ref="FB41:FB79" si="686">2*CG41+2*CH41+1.5*CI41+CJ41+CK41+CL41+CM41+0.5*(CN41+CO41)+CP41*1.5+CQ41*5/2</f>
        <v>1.4426508801204516</v>
      </c>
      <c r="FC41" s="310">
        <f t="shared" ref="FC41:FC79" si="687">(2*FB41-4*FA41)</f>
        <v>0.83984277877741276</v>
      </c>
      <c r="FD41" s="310">
        <f t="shared" ref="FD41:FD79" si="688">FC41/FA41</f>
        <v>1.6423556500292562</v>
      </c>
      <c r="FE41" s="310">
        <f t="shared" ref="FE41:FE79" ca="1" si="689">EXP(-6.53+10813.8/(V41+273.15)+0.19*C41*2.3026+12.4*(EV41+EU41)-3.44*EP41/(EP41+EN41)+4.15*ET41)</f>
        <v>0.17384353723504536</v>
      </c>
      <c r="FF41" s="310">
        <f t="shared" ref="FF41:FF79" ca="1" si="690">EQ41*FE41/(1+2*FE41)</f>
        <v>1.2357800758834135E-2</v>
      </c>
      <c r="FG41" s="310">
        <f t="shared" ref="FG41:FG79" ca="1" si="691">EQ41-2*FF41</f>
        <v>7.1085764563831644E-2</v>
      </c>
      <c r="FH41" s="310">
        <f t="shared" ref="FH41:FH79" ca="1" si="692">FG41/ES41</f>
        <v>0.25175750835029365</v>
      </c>
      <c r="FI41" s="310">
        <f t="shared" ref="FI41:FI79" ca="1" si="693">CX41/CY41</f>
        <v>8.69861671568153E-2</v>
      </c>
      <c r="FJ41" s="310">
        <f t="shared" ref="FJ41:FJ79" ca="1" si="694">FI41/FH41</f>
        <v>0.34551568184327336</v>
      </c>
      <c r="FK41" s="310">
        <f t="shared" ref="FK41:FK79" ca="1" si="695">FQ41/FP41</f>
        <v>8.6986167156815314E-2</v>
      </c>
      <c r="FL41" s="310">
        <f t="shared" ref="FL41:FL79" ca="1" si="696">(FH41)*AM41</f>
        <v>8.6986167156815342E-2</v>
      </c>
      <c r="FM41" s="310"/>
      <c r="FN41" s="310"/>
      <c r="FO41" s="310"/>
      <c r="FP41" s="310">
        <f t="shared" ref="FP41:FP79" ca="1" si="697">2/(1+FL41)</f>
        <v>1.8399498176056068</v>
      </c>
      <c r="FQ41" s="310">
        <f t="shared" ref="FQ41:FQ79" ca="1" si="698">2-FP41</f>
        <v>0.16005018239439317</v>
      </c>
      <c r="FR41" s="310">
        <f t="shared" si="479"/>
        <v>0.33333333333333331</v>
      </c>
      <c r="FS41" s="310">
        <f t="shared" ref="FS41:FS79" ca="1" si="699">FQ41/3</f>
        <v>5.3350060798131059E-2</v>
      </c>
      <c r="FT41" s="310">
        <f t="shared" ref="FT41:FT79" ca="1" si="700">FP41/3</f>
        <v>0.61331660586853565</v>
      </c>
      <c r="FU41" s="310">
        <f t="shared" ref="FU41:FU79" si="701">60.08*FR41</f>
        <v>20.026666666666664</v>
      </c>
      <c r="FV41" s="310">
        <f t="shared" ref="FV41:FV79" ca="1" si="702">71.85*FS41</f>
        <v>3.8332018683457161</v>
      </c>
      <c r="FW41" s="310">
        <f t="shared" ref="FW41:FW79" ca="1" si="703">40.3*FT41</f>
        <v>24.716659216501984</v>
      </c>
      <c r="FX41" s="310">
        <f t="shared" ref="FX41:FX79" ca="1" si="704">SUM(FU41:FW41)</f>
        <v>48.576527751514362</v>
      </c>
      <c r="FY41" s="310">
        <f t="shared" ref="FY41:FY79" ca="1" si="705">100*FU41/$FX41</f>
        <v>41.227044405293739</v>
      </c>
      <c r="FZ41" s="310">
        <f t="shared" ref="FZ41:FZ79" ca="1" si="706">100*FV41/$FX41</f>
        <v>7.8910577716749559</v>
      </c>
      <c r="GA41" s="310">
        <f t="shared" ref="GA41:GA79" ca="1" si="707">100*FW41/$FX41</f>
        <v>50.881897823031309</v>
      </c>
      <c r="GB41" s="310">
        <f t="shared" ref="GB41:GB79" ca="1" si="708">100*GA41/40.3/(GA41/40.3+FZ41/71.85)</f>
        <v>91.997490880280338</v>
      </c>
      <c r="GC41" s="310">
        <f t="shared" ref="GC41:GC79" ca="1" si="709">S41*10^9</f>
        <v>3646620570.3966198</v>
      </c>
      <c r="GD41" s="310">
        <f t="shared" si="152"/>
        <v>38</v>
      </c>
      <c r="GE41" s="318">
        <f t="shared" ref="GE41:GE79" ca="1" si="710">-5.1404654*S41^2+132.899012*S41+1120.66061</f>
        <v>1536.9357863850933</v>
      </c>
      <c r="GF41" s="318">
        <f t="shared" ref="GF41:GF79" ca="1" si="711">1120+132.9*S41-5.104*S41^2</f>
        <v>1536.7636903587302</v>
      </c>
      <c r="GG41" s="318">
        <f t="shared" ref="GG41:GG79" ca="1" si="712">1070+14.93*GD41+72.23*S41-3.249*S41^2</f>
        <v>1857.5307164919031</v>
      </c>
      <c r="GH41" s="310">
        <f t="shared" ref="GH41:GH79" ca="1" si="713">(U41-GF41)/(GG41-GF41)</f>
        <v>0.40740981282496408</v>
      </c>
      <c r="GI41" s="310">
        <f t="shared" ref="GI41:GI79" ca="1" si="714">2.195-0.302*S41</f>
        <v>1.0937205877402207</v>
      </c>
      <c r="GJ41" s="310">
        <f t="shared" ref="GJ41:GJ79" ca="1" si="715">-3.474+0.572*S41</f>
        <v>-1.3881330337331339</v>
      </c>
      <c r="GK41" s="310">
        <f t="shared" ref="GK41:GK79" ca="1" si="716">2.288-0.271*S41</f>
        <v>1.299765825422516</v>
      </c>
      <c r="GL41" s="310">
        <f t="shared" ref="GL41:GL79" ca="1" si="717">-GH41</f>
        <v>-0.40740981282496408</v>
      </c>
      <c r="GM41" s="318">
        <f t="shared" ref="GM41:GM79" ca="1" si="718">-GJ41/(3*GK41)</f>
        <v>0.35599567413919664</v>
      </c>
      <c r="GN41" s="318">
        <f t="shared" ref="GN41:GN79" ca="1" si="719">(-GJ41^3)/(27*(GK41^3))</f>
        <v>4.5116371293101164E-2</v>
      </c>
      <c r="GO41" s="318">
        <f t="shared" ref="GO41:GO79" ca="1" si="720">(GJ41*GI41)/(6*(GK41^2))</f>
        <v>-0.14978074909221775</v>
      </c>
      <c r="GP41" s="318">
        <f t="shared" ref="GP41:GP79" ca="1" si="721">GL41/(2*GK41)</f>
        <v>-0.15672431327871197</v>
      </c>
      <c r="GQ41" s="318">
        <f t="shared" ref="GQ41:GQ79" ca="1" si="722">GI41/(3*GK41)</f>
        <v>0.28049170251743466</v>
      </c>
      <c r="GR41" s="318">
        <f t="shared" ref="GR41:GR79" ca="1" si="723">(GJ41^2)/(9*(GK41^2))</f>
        <v>0.12673292000582109</v>
      </c>
      <c r="GS41" s="318">
        <f t="shared" ref="GS41:GS79" ca="1" si="724">GN41+GO41-GP41</f>
        <v>5.2059935479595393E-2</v>
      </c>
      <c r="GT41" s="318">
        <f t="shared" ref="GT41:GT79" ca="1" si="725">(GQ41-GR41)^3</f>
        <v>3.635128725975868E-3</v>
      </c>
      <c r="GU41" s="318">
        <f t="shared" ref="GU41:GU79" ca="1" si="726">(GS41+SQRT(GS41^2+GT41))^(1/3)</f>
        <v>0.50880115523089497</v>
      </c>
      <c r="GV41" s="318">
        <f t="shared" ref="GV41:GV79" ca="1" si="727">(GS41-(SQRT(GS41^2+GT41)))^(1/3)</f>
        <v>-0.30219817885798139</v>
      </c>
      <c r="GW41" s="318">
        <f t="shared" ref="GW41:GW79" ca="1" si="728">GU41+GV41+GM41</f>
        <v>0.56259865051211022</v>
      </c>
      <c r="GY41" s="321">
        <f t="shared" ref="GY41:GY79" si="729">1.5*EO41+0.5*(EP41+EW41+EQ41+ER41+ES41)-0.5*(ET41+EU41)+3*EV41</f>
        <v>0.20299158348955537</v>
      </c>
      <c r="GZ41" s="310">
        <f t="shared" ref="GZ41:GZ79" si="730">EO41+EP41+EW41</f>
        <v>7.3111585225697717E-2</v>
      </c>
      <c r="HA41" s="310">
        <f t="shared" ref="HA41:HA79" si="731">EN41-0.5*(EP41+EW41+EQ41+ER41+ES41)-1.5*ET41-3*EU41</f>
        <v>5.8251295709641285E-3</v>
      </c>
      <c r="HB41" s="310">
        <f t="shared" ref="HB41:HB79" si="732">SUM(GY41:HA41)</f>
        <v>0.28192829828621724</v>
      </c>
      <c r="HC41" s="310">
        <f t="shared" ref="HC41:HC79" si="733">GY41/$HB41</f>
        <v>0.72001138134588993</v>
      </c>
      <c r="HD41" s="310">
        <f t="shared" ref="HD41:HD79" si="734">GZ41/$HB41</f>
        <v>0.25932687733061083</v>
      </c>
      <c r="HE41" s="310">
        <f t="shared" ref="HE41:HE79" si="735">HA41/$HB41</f>
        <v>2.0661741323499148E-2</v>
      </c>
      <c r="HF41" s="310">
        <f t="shared" ref="HF41:HF79" si="736">-1.994+2.25*HE41+0.041/HE41</f>
        <v>3.6832800619052586E-2</v>
      </c>
      <c r="HG41" s="310">
        <f t="shared" ref="HG41:HG79" si="737">-1.183-3.005*HE41+13.774*HE41^2-12.615*HE41^3</f>
        <v>-1.2393195805645723</v>
      </c>
      <c r="HH41" s="310">
        <f t="shared" ref="HH41:HH79" si="738">(HF41+HG41)/2</f>
        <v>-0.60124338997275983</v>
      </c>
      <c r="HI41" s="310">
        <f t="shared" ref="HI41:HI79" si="739">(HE41^0.245)*EXP(0.931+1.623*HE41)</f>
        <v>1.0141628362786217</v>
      </c>
      <c r="HJ41" s="310">
        <f t="shared" ref="HJ41:HJ79" si="740">(HE41^0.577)*EXP(0.769-7.514*HE41)</f>
        <v>0.19696930009675129</v>
      </c>
      <c r="HK41" s="310">
        <f t="shared" ref="HK41:HK79" si="741">0.3813-0.7896/K41+1.0389/(K41^2)</f>
        <v>0.34357573442958877</v>
      </c>
      <c r="HL41" s="310">
        <f t="shared" ref="HL41:HL79" si="742">$BL$5/I41</f>
        <v>0.67920571859263879</v>
      </c>
    </row>
    <row r="42" spans="1:220" ht="20.25">
      <c r="A42" s="296" t="s">
        <v>312</v>
      </c>
      <c r="B42" s="77">
        <v>3500</v>
      </c>
      <c r="C42" s="95">
        <f t="shared" ca="1" si="554"/>
        <v>-3.2516940192407811</v>
      </c>
      <c r="D42" s="70">
        <f t="shared" ca="1" si="555"/>
        <v>-3.0270391669534389</v>
      </c>
      <c r="E42" s="71">
        <f t="shared" ca="1" si="556"/>
        <v>-3.2516940192407811</v>
      </c>
      <c r="F42" s="77">
        <v>45.138105598082383</v>
      </c>
      <c r="G42" s="77">
        <v>1.8923695995799088</v>
      </c>
      <c r="H42" s="77">
        <v>10.537830501919411</v>
      </c>
      <c r="I42" s="77">
        <v>11.619283492523628</v>
      </c>
      <c r="J42" s="77">
        <v>0.14737471372721866</v>
      </c>
      <c r="K42" s="77">
        <v>19.14</v>
      </c>
      <c r="L42" s="77">
        <v>8.6152478780507558</v>
      </c>
      <c r="M42" s="77">
        <v>1.9111134324284689</v>
      </c>
      <c r="N42" s="77">
        <v>0.6963575846918828</v>
      </c>
      <c r="O42" s="328">
        <v>0.01</v>
      </c>
      <c r="P42" s="329">
        <v>0.30394296100000001</v>
      </c>
      <c r="Q42" s="84"/>
      <c r="R42" s="72">
        <f t="shared" si="557"/>
        <v>100.01162576200365</v>
      </c>
      <c r="S42" s="106">
        <f t="shared" ca="1" si="558"/>
        <v>3.2462227228868024</v>
      </c>
      <c r="T42" s="104">
        <f t="shared" ca="1" si="559"/>
        <v>0.34634704322514082</v>
      </c>
      <c r="U42" s="107">
        <f t="shared" ca="1" si="560"/>
        <v>1629.5313561861474</v>
      </c>
      <c r="V42" s="107">
        <f t="shared" ca="1" si="561"/>
        <v>1578.6095536743551</v>
      </c>
      <c r="W42" s="105">
        <f t="shared" ca="1" si="562"/>
        <v>1587.4453047746531</v>
      </c>
      <c r="X42" s="102">
        <f t="shared" ca="1" si="563"/>
        <v>1642.256236328559</v>
      </c>
      <c r="Y42" s="102">
        <f t="shared" ca="1" si="564"/>
        <v>1557.0419519898585</v>
      </c>
      <c r="Z42" s="103">
        <f t="shared" ca="1" si="565"/>
        <v>1616.4850920625393</v>
      </c>
      <c r="AA42" s="103">
        <f t="shared" ca="1" si="566"/>
        <v>1604.5484414514169</v>
      </c>
      <c r="AB42" s="103">
        <f t="shared" ca="1" si="567"/>
        <v>45.302712944350411</v>
      </c>
      <c r="AC42" s="4">
        <v>13.3</v>
      </c>
      <c r="AD42" s="273">
        <f t="shared" ca="1" si="568"/>
        <v>12.320285423229556</v>
      </c>
      <c r="AE42" s="3">
        <f t="shared" ca="1" si="569"/>
        <v>117.36040888339087</v>
      </c>
      <c r="AF42" s="3">
        <f t="shared" ca="1" si="570"/>
        <v>213.9530166854255</v>
      </c>
      <c r="AG42" s="2">
        <f t="shared" ca="1" si="571"/>
        <v>548.53355517742261</v>
      </c>
      <c r="AH42" s="2">
        <f t="shared" ca="1" si="572"/>
        <v>65.933278270400692</v>
      </c>
      <c r="AI42" s="87">
        <f t="shared" si="573"/>
        <v>0.40937417135207982</v>
      </c>
      <c r="AJ42" s="87">
        <f t="shared" ca="1" si="574"/>
        <v>3.2462227228868024</v>
      </c>
      <c r="AK42" s="87">
        <f t="shared" ca="1" si="575"/>
        <v>0.27972514126354076</v>
      </c>
      <c r="AL42" s="86">
        <f t="shared" ca="1" si="576"/>
        <v>0.26531673327594624</v>
      </c>
      <c r="AM42" s="87">
        <f t="shared" ca="1" si="577"/>
        <v>0.34634704322514082</v>
      </c>
      <c r="AN42" s="87">
        <f t="shared" ca="1" si="578"/>
        <v>0.34634704322514098</v>
      </c>
      <c r="AO42" s="96">
        <f t="shared" ca="1" si="579"/>
        <v>41.176590590771454</v>
      </c>
      <c r="AP42" s="96">
        <f t="shared" ca="1" si="580"/>
        <v>8.1601021059854855</v>
      </c>
      <c r="AQ42" s="96">
        <f t="shared" ca="1" si="581"/>
        <v>50.663307303243059</v>
      </c>
      <c r="AR42" s="73"/>
      <c r="AS42" s="53">
        <f t="shared" ca="1" si="138"/>
        <v>79.312406550963217</v>
      </c>
      <c r="AT42" s="68">
        <f t="shared" ca="1" si="582"/>
        <v>91.714506812110116</v>
      </c>
      <c r="AU42" s="74">
        <f t="shared" ca="1" si="583"/>
        <v>0.34634704322514098</v>
      </c>
      <c r="AV42" s="68">
        <f t="shared" si="584"/>
        <v>2.3502080232216374</v>
      </c>
      <c r="AW42" s="68">
        <f t="shared" ca="1" si="585"/>
        <v>2.3879946171768927</v>
      </c>
      <c r="AX42" s="69">
        <f t="shared" ca="1" si="586"/>
        <v>1634.4400135352403</v>
      </c>
      <c r="AY42" s="69">
        <f t="shared" ca="1" si="587"/>
        <v>1629.5313561861474</v>
      </c>
      <c r="AZ42" s="69">
        <f t="shared" ca="1" si="588"/>
        <v>1578.6095536743551</v>
      </c>
      <c r="BA42" s="75"/>
      <c r="BB42" s="74">
        <f t="shared" ca="1" si="589"/>
        <v>0.12019917040275621</v>
      </c>
      <c r="BC42" s="74">
        <f t="shared" ca="1" si="590"/>
        <v>1.0991279300708912E-2</v>
      </c>
      <c r="BD42" s="68">
        <f t="shared" si="591"/>
        <v>3.2043838840127126E-2</v>
      </c>
      <c r="BE42" s="68">
        <f t="shared" ca="1" si="592"/>
        <v>0.13739527424821563</v>
      </c>
      <c r="BF42" s="68">
        <f t="shared" ca="1" si="593"/>
        <v>0.15841827801957326</v>
      </c>
      <c r="BH42" s="68">
        <f t="shared" ca="1" si="594"/>
        <v>7.9581189312401712E-2</v>
      </c>
      <c r="BI42" s="68">
        <f t="shared" ca="1" si="595"/>
        <v>0.15293929050310884</v>
      </c>
      <c r="BK42" s="53">
        <f t="shared" ca="1" si="596"/>
        <v>0.51351483293650768</v>
      </c>
      <c r="BL42" s="53">
        <f t="shared" si="597"/>
        <v>2.1114866303238267E-2</v>
      </c>
      <c r="BM42" s="53">
        <f t="shared" si="598"/>
        <v>2.0608908889327354E-2</v>
      </c>
      <c r="BN42" s="53">
        <f t="shared" si="599"/>
        <v>0.29788920229498383</v>
      </c>
      <c r="BO42" s="53">
        <f t="shared" si="600"/>
        <v>0.18105066714865131</v>
      </c>
      <c r="BP42" s="53">
        <f t="shared" si="601"/>
        <v>0.14926529229252916</v>
      </c>
      <c r="BQ42" s="54">
        <f t="shared" si="602"/>
        <v>1428.401664</v>
      </c>
      <c r="BR42" s="262">
        <f t="shared" si="603"/>
        <v>4.3321943817569695</v>
      </c>
      <c r="BS42" s="54">
        <f t="shared" si="604"/>
        <v>1626.1743881439672</v>
      </c>
      <c r="BT42" s="67"/>
      <c r="BU42" s="73">
        <f t="shared" si="605"/>
        <v>0.75130002659924078</v>
      </c>
      <c r="BV42" s="73">
        <f t="shared" si="606"/>
        <v>2.3684225276344287E-2</v>
      </c>
      <c r="BW42" s="73">
        <f t="shared" si="607"/>
        <v>0.20670518834679111</v>
      </c>
      <c r="BX42" s="73">
        <f t="shared" si="608"/>
        <v>0.16171584540742698</v>
      </c>
      <c r="BY42" s="73">
        <f t="shared" si="609"/>
        <v>2.0774557897831783E-3</v>
      </c>
      <c r="BZ42" s="73">
        <f t="shared" si="610"/>
        <v>0.47493796526054594</v>
      </c>
      <c r="CA42" s="73">
        <f t="shared" si="611"/>
        <v>0.1536242488953416</v>
      </c>
      <c r="CB42" s="73">
        <f t="shared" si="612"/>
        <v>6.1668713534316522E-2</v>
      </c>
      <c r="CC42" s="73">
        <f t="shared" si="613"/>
        <v>1.478466209536906E-2</v>
      </c>
      <c r="CD42" s="73">
        <f t="shared" si="614"/>
        <v>1.3158760444766102E-4</v>
      </c>
      <c r="CE42" s="73">
        <f t="shared" si="615"/>
        <v>4.282696364661125E-3</v>
      </c>
      <c r="CF42" s="73">
        <f t="shared" si="616"/>
        <v>1.8549126151742683</v>
      </c>
      <c r="CG42" s="73">
        <f t="shared" si="617"/>
        <v>0.40503257159025596</v>
      </c>
      <c r="CH42" s="73">
        <f t="shared" si="618"/>
        <v>1.2768377918503273E-2</v>
      </c>
      <c r="CI42" s="73">
        <f t="shared" si="619"/>
        <v>0.11143661790632182</v>
      </c>
      <c r="CJ42" s="73">
        <f t="shared" si="620"/>
        <v>8.7182460286536909E-2</v>
      </c>
      <c r="CK42" s="73">
        <f t="shared" si="621"/>
        <v>1.1199750181158815E-3</v>
      </c>
      <c r="CL42" s="73">
        <f t="shared" si="622"/>
        <v>0.25604330973614392</v>
      </c>
      <c r="CM42" s="73">
        <f t="shared" si="623"/>
        <v>8.2820208153530001E-2</v>
      </c>
      <c r="CN42" s="73">
        <f t="shared" si="624"/>
        <v>3.3246155657053834E-2</v>
      </c>
      <c r="CO42" s="73">
        <f t="shared" si="625"/>
        <v>7.9705437196458152E-3</v>
      </c>
      <c r="CP42" s="73">
        <f t="shared" si="626"/>
        <v>7.0940055812439667E-5</v>
      </c>
      <c r="CQ42" s="73">
        <f t="shared" si="627"/>
        <v>2.3088399580800563E-3</v>
      </c>
      <c r="CR42" s="73"/>
      <c r="CS42" s="73">
        <f t="shared" ca="1" si="628"/>
        <v>0.68536269292229457</v>
      </c>
      <c r="CT42" s="73">
        <f t="shared" ca="1" si="629"/>
        <v>0.11357135846883071</v>
      </c>
      <c r="CU42" s="73">
        <f t="shared" ca="1" si="630"/>
        <v>1.2571540273757584</v>
      </c>
      <c r="CV42" s="73">
        <f t="shared" ca="1" si="631"/>
        <v>2.0560880787668836</v>
      </c>
      <c r="CW42" s="73">
        <f t="shared" ca="1" si="632"/>
        <v>0.33333333333333337</v>
      </c>
      <c r="CX42" s="73">
        <f t="shared" ca="1" si="633"/>
        <v>5.5236621252599205E-2</v>
      </c>
      <c r="CY42" s="73">
        <f t="shared" ca="1" si="634"/>
        <v>0.61143004541406754</v>
      </c>
      <c r="CZ42" s="73">
        <f t="shared" si="635"/>
        <v>0.42716595319432671</v>
      </c>
      <c r="DA42" s="73">
        <f t="shared" si="636"/>
        <v>0.40503257159025596</v>
      </c>
      <c r="DB42" s="73">
        <f t="shared" si="637"/>
        <v>-0.50347670229610397</v>
      </c>
      <c r="DC42" s="73"/>
      <c r="DD42" s="73">
        <f t="shared" ca="1" si="638"/>
        <v>1634.4400135352403</v>
      </c>
      <c r="DE42" s="73">
        <f t="shared" ca="1" si="639"/>
        <v>15207.53925611767</v>
      </c>
      <c r="DF42" s="73">
        <f t="shared" si="640"/>
        <v>7.9721214454956728</v>
      </c>
      <c r="DG42" s="73">
        <f t="shared" si="641"/>
        <v>1706.3094052170868</v>
      </c>
      <c r="DH42" s="73">
        <f t="shared" si="642"/>
        <v>1433.1594052170867</v>
      </c>
      <c r="DI42" s="73">
        <f t="shared" si="449"/>
        <v>13602.905801982104</v>
      </c>
      <c r="DJ42" s="73">
        <f t="shared" si="643"/>
        <v>7.9721214454956728</v>
      </c>
      <c r="DK42" s="73">
        <f t="shared" si="644"/>
        <v>1706.3094052170868</v>
      </c>
      <c r="DL42" s="73">
        <f t="shared" ca="1" si="645"/>
        <v>3.2462227228868024</v>
      </c>
      <c r="DM42" s="73">
        <f t="shared" si="646"/>
        <v>-0.50347670229610397</v>
      </c>
      <c r="DN42" s="73">
        <f t="shared" si="647"/>
        <v>0.42716595319432671</v>
      </c>
      <c r="DO42" s="73">
        <f t="shared" si="648"/>
        <v>0.40503257159025596</v>
      </c>
      <c r="DP42" s="73">
        <f t="shared" si="649"/>
        <v>2.3502080232216374</v>
      </c>
      <c r="DQ42" s="73">
        <f t="shared" ca="1" si="650"/>
        <v>15207.60789192294</v>
      </c>
      <c r="DR42" s="73">
        <f t="shared" si="651"/>
        <v>7.9718982183235374</v>
      </c>
      <c r="DS42" s="73">
        <f t="shared" ca="1" si="652"/>
        <v>1634.5020391301546</v>
      </c>
      <c r="DT42" s="73">
        <f t="shared" si="653"/>
        <v>1433.225201671939</v>
      </c>
      <c r="DU42" s="73">
        <f t="shared" ca="1" si="654"/>
        <v>1587.4453047746531</v>
      </c>
      <c r="DV42" s="76">
        <f t="shared" ca="1" si="655"/>
        <v>2.3879946171768927</v>
      </c>
      <c r="DW42" s="73">
        <f t="shared" ca="1" si="656"/>
        <v>2.89508179888858</v>
      </c>
      <c r="DX42" s="73">
        <f t="shared" ca="1" si="657"/>
        <v>4608.8344098038342</v>
      </c>
      <c r="DY42" s="73">
        <f t="shared" ca="1" si="658"/>
        <v>1591.9530880174657</v>
      </c>
      <c r="DZ42" s="73">
        <f t="shared" ca="1" si="659"/>
        <v>3.7522206465440378</v>
      </c>
      <c r="EA42" s="73"/>
      <c r="EB42" s="73">
        <f t="shared" si="660"/>
        <v>0.75130002659924078</v>
      </c>
      <c r="EC42" s="73">
        <f t="shared" si="661"/>
        <v>2.3684225276344287E-2</v>
      </c>
      <c r="ED42" s="73">
        <f t="shared" si="662"/>
        <v>0.10335259417339555</v>
      </c>
      <c r="EE42" s="73">
        <f t="shared" si="663"/>
        <v>0.16171584540742698</v>
      </c>
      <c r="EF42" s="73">
        <f t="shared" si="664"/>
        <v>2.0774557897831783E-3</v>
      </c>
      <c r="EG42" s="73">
        <f t="shared" si="665"/>
        <v>0.47493796526054594</v>
      </c>
      <c r="EH42" s="73">
        <f t="shared" si="666"/>
        <v>0.1536242488953416</v>
      </c>
      <c r="EI42" s="73">
        <f t="shared" si="667"/>
        <v>3.0834356767158261E-2</v>
      </c>
      <c r="EJ42" s="73">
        <f t="shared" si="668"/>
        <v>7.3923310476845302E-3</v>
      </c>
      <c r="EK42" s="73">
        <f t="shared" si="669"/>
        <v>6.5793802223830508E-5</v>
      </c>
      <c r="EL42" s="73">
        <f t="shared" si="670"/>
        <v>2.1413481823305625E-3</v>
      </c>
      <c r="EM42" s="73">
        <f t="shared" si="671"/>
        <v>1.7111261912014755</v>
      </c>
      <c r="EN42" s="73">
        <f t="shared" si="672"/>
        <v>0.43906757459641937</v>
      </c>
      <c r="EO42" s="73">
        <f t="shared" si="673"/>
        <v>1.3841308372303211E-2</v>
      </c>
      <c r="EP42" s="73">
        <f t="shared" si="674"/>
        <v>6.0400334414159151E-2</v>
      </c>
      <c r="EQ42" s="73">
        <f t="shared" si="675"/>
        <v>9.4508427396507458E-2</v>
      </c>
      <c r="ER42" s="73">
        <f t="shared" si="676"/>
        <v>1.2140868396880084E-3</v>
      </c>
      <c r="ES42" s="73">
        <f t="shared" si="677"/>
        <v>0.27755870239299296</v>
      </c>
      <c r="ET42" s="73">
        <f t="shared" si="678"/>
        <v>8.9779613967263042E-2</v>
      </c>
      <c r="EU42" s="73">
        <f t="shared" si="679"/>
        <v>1.8019919819886439E-2</v>
      </c>
      <c r="EV42" s="73">
        <f t="shared" si="680"/>
        <v>4.3201553957244784E-3</v>
      </c>
      <c r="EW42" s="73">
        <f t="shared" si="681"/>
        <v>3.8450584511030756E-5</v>
      </c>
      <c r="EX42" s="73">
        <f t="shared" si="682"/>
        <v>1.2514262205448475E-3</v>
      </c>
      <c r="EY42" s="73">
        <f t="shared" si="683"/>
        <v>1</v>
      </c>
      <c r="EZ42" s="73">
        <f t="shared" si="684"/>
        <v>0.11143661790632182</v>
      </c>
      <c r="FA42" s="73">
        <f t="shared" si="685"/>
        <v>0.5292375674150811</v>
      </c>
      <c r="FB42" s="73">
        <f t="shared" si="686"/>
        <v>1.4564096387385967</v>
      </c>
      <c r="FC42" s="73">
        <f t="shared" si="687"/>
        <v>0.79586900781686909</v>
      </c>
      <c r="FD42" s="73">
        <f t="shared" si="688"/>
        <v>1.5038029361824743</v>
      </c>
      <c r="FE42" s="73">
        <f t="shared" ca="1" si="689"/>
        <v>0.15270486137208325</v>
      </c>
      <c r="FF42" s="73">
        <f t="shared" ca="1" si="690"/>
        <v>1.1055453358918808E-2</v>
      </c>
      <c r="FG42" s="73">
        <f t="shared" ca="1" si="691"/>
        <v>7.2397520678669836E-2</v>
      </c>
      <c r="FH42" s="73">
        <f t="shared" ca="1" si="692"/>
        <v>0.26083678895487417</v>
      </c>
      <c r="FI42" s="73">
        <f t="shared" ca="1" si="693"/>
        <v>9.0340050618860773E-2</v>
      </c>
      <c r="FJ42" s="73">
        <f t="shared" ca="1" si="694"/>
        <v>0.34634704322514098</v>
      </c>
      <c r="FK42" s="73">
        <f t="shared" ca="1" si="695"/>
        <v>9.0340050618860787E-2</v>
      </c>
      <c r="FL42" s="73">
        <f t="shared" ca="1" si="696"/>
        <v>9.0340050618860732E-2</v>
      </c>
      <c r="FM42" s="73"/>
      <c r="FN42" s="73"/>
      <c r="FO42" s="73"/>
      <c r="FP42" s="73">
        <f t="shared" ca="1" si="697"/>
        <v>1.8342901362422024</v>
      </c>
      <c r="FQ42" s="73">
        <f t="shared" ca="1" si="698"/>
        <v>0.16570986375779762</v>
      </c>
      <c r="FR42" s="73">
        <f t="shared" si="479"/>
        <v>0.33333333333333331</v>
      </c>
      <c r="FS42" s="73">
        <f t="shared" ca="1" si="699"/>
        <v>5.5236621252599205E-2</v>
      </c>
      <c r="FT42" s="73">
        <f t="shared" ca="1" si="700"/>
        <v>0.61143004541406742</v>
      </c>
      <c r="FU42" s="73">
        <f t="shared" si="701"/>
        <v>20.026666666666664</v>
      </c>
      <c r="FV42" s="73">
        <f t="shared" ca="1" si="702"/>
        <v>3.9687512369992524</v>
      </c>
      <c r="FW42" s="73">
        <f t="shared" ca="1" si="703"/>
        <v>24.640630830186915</v>
      </c>
      <c r="FX42" s="73">
        <f t="shared" ca="1" si="704"/>
        <v>48.636048733852832</v>
      </c>
      <c r="FY42" s="73">
        <f t="shared" ca="1" si="705"/>
        <v>41.176590590771454</v>
      </c>
      <c r="FZ42" s="73">
        <f t="shared" ca="1" si="706"/>
        <v>8.1601021059854855</v>
      </c>
      <c r="GA42" s="73">
        <f t="shared" ca="1" si="707"/>
        <v>50.663307303243059</v>
      </c>
      <c r="GB42" s="73">
        <f t="shared" ca="1" si="708"/>
        <v>91.714506812110116</v>
      </c>
      <c r="GC42" s="73">
        <f t="shared" ca="1" si="709"/>
        <v>3246222722.8868022</v>
      </c>
      <c r="GD42" s="2">
        <f t="shared" si="152"/>
        <v>38</v>
      </c>
      <c r="GE42">
        <f t="shared" ca="1" si="710"/>
        <v>1497.9103737278513</v>
      </c>
      <c r="GF42">
        <f t="shared" ca="1" si="711"/>
        <v>1497.6372419941979</v>
      </c>
      <c r="GG42">
        <f t="shared" ca="1" si="712"/>
        <v>1837.5768288446739</v>
      </c>
      <c r="GH42" s="2">
        <f t="shared" ca="1" si="713"/>
        <v>0.38799280605692954</v>
      </c>
      <c r="GI42" s="2">
        <f t="shared" ca="1" si="714"/>
        <v>1.2146407376881856</v>
      </c>
      <c r="GJ42" s="2">
        <f t="shared" ca="1" si="715"/>
        <v>-1.6171606025087495</v>
      </c>
      <c r="GK42" s="2">
        <f t="shared" ca="1" si="716"/>
        <v>1.4082736420976762</v>
      </c>
      <c r="GL42" s="2">
        <f t="shared" ca="1" si="717"/>
        <v>-0.38799280605692954</v>
      </c>
      <c r="GM42">
        <f t="shared" ca="1" si="718"/>
        <v>0.38277612962111734</v>
      </c>
      <c r="GN42">
        <f t="shared" ca="1" si="719"/>
        <v>5.6083426608276907E-2</v>
      </c>
      <c r="GO42">
        <f t="shared" ca="1" si="720"/>
        <v>-0.1650728475468318</v>
      </c>
      <c r="GP42">
        <f t="shared" ca="1" si="721"/>
        <v>-0.13775476386783742</v>
      </c>
      <c r="GQ42">
        <f t="shared" ca="1" si="722"/>
        <v>0.28750111753350543</v>
      </c>
      <c r="GR42">
        <f t="shared" ca="1" si="723"/>
        <v>0.14651756540772243</v>
      </c>
      <c r="GS42">
        <f t="shared" ca="1" si="724"/>
        <v>2.8765342929282525E-2</v>
      </c>
      <c r="GT42">
        <f t="shared" ca="1" si="725"/>
        <v>2.8022401138689018E-3</v>
      </c>
      <c r="GU42">
        <f t="shared" ca="1" si="726"/>
        <v>0.44649492710748107</v>
      </c>
      <c r="GV42">
        <f t="shared" ca="1" si="727"/>
        <v>-0.31575622379209073</v>
      </c>
      <c r="GW42">
        <f t="shared" ca="1" si="728"/>
        <v>0.51351483293650768</v>
      </c>
      <c r="GY42" s="15">
        <f t="shared" si="729"/>
        <v>0.19668266266598283</v>
      </c>
      <c r="GZ42" s="2">
        <f t="shared" si="730"/>
        <v>7.4280093370973396E-2</v>
      </c>
      <c r="HA42" s="2">
        <f t="shared" si="731"/>
        <v>3.3478393371936178E-2</v>
      </c>
      <c r="HB42" s="2">
        <f t="shared" si="732"/>
        <v>0.30444114940889244</v>
      </c>
      <c r="HC42" s="2">
        <f t="shared" si="733"/>
        <v>0.64604493527850904</v>
      </c>
      <c r="HD42" s="2">
        <f t="shared" si="734"/>
        <v>0.24398834886544329</v>
      </c>
      <c r="HE42" s="2">
        <f t="shared" si="735"/>
        <v>0.1099667158560475</v>
      </c>
      <c r="HF42" s="2">
        <f t="shared" si="736"/>
        <v>-1.3737348014770281</v>
      </c>
      <c r="HG42" s="2">
        <f t="shared" si="737"/>
        <v>-1.3636607541502666</v>
      </c>
      <c r="HH42" s="2">
        <f t="shared" si="738"/>
        <v>-1.3686977778136473</v>
      </c>
      <c r="HI42" s="2">
        <f t="shared" si="739"/>
        <v>1.765827611206765</v>
      </c>
      <c r="HJ42" s="2">
        <f t="shared" si="740"/>
        <v>0.26419649730123634</v>
      </c>
      <c r="HK42" s="2">
        <f t="shared" si="741"/>
        <v>0.3428819747578476</v>
      </c>
      <c r="HL42" s="2">
        <f t="shared" si="742"/>
        <v>0.69023188952747638</v>
      </c>
    </row>
    <row r="43" spans="1:220" ht="20.25">
      <c r="A43" s="296" t="s">
        <v>313</v>
      </c>
      <c r="B43" s="77">
        <v>3500</v>
      </c>
      <c r="C43" s="95">
        <f t="shared" ca="1" si="554"/>
        <v>-3.0881015569238559</v>
      </c>
      <c r="D43" s="70">
        <f t="shared" ca="1" si="555"/>
        <v>-2.8157483866242146</v>
      </c>
      <c r="E43" s="71">
        <f t="shared" ca="1" si="556"/>
        <v>-3.0881015569238559</v>
      </c>
      <c r="F43" s="77">
        <v>44.444090128616097</v>
      </c>
      <c r="G43" s="77">
        <v>2.1483468001341928</v>
      </c>
      <c r="H43" s="77">
        <v>10.125310759297488</v>
      </c>
      <c r="I43" s="77">
        <v>11.71359674874471</v>
      </c>
      <c r="J43" s="77">
        <v>0.14843214399727481</v>
      </c>
      <c r="K43" s="77">
        <v>19.329999999999998</v>
      </c>
      <c r="L43" s="77">
        <v>8.9712622991341284</v>
      </c>
      <c r="M43" s="77">
        <v>1.9436404286919275</v>
      </c>
      <c r="N43" s="77">
        <v>0.80525165478153871</v>
      </c>
      <c r="O43" s="328">
        <v>0.01</v>
      </c>
      <c r="P43" s="329">
        <v>0.371702213</v>
      </c>
      <c r="Q43" s="84"/>
      <c r="R43" s="72">
        <f t="shared" si="557"/>
        <v>100.01163317639735</v>
      </c>
      <c r="S43" s="106">
        <f t="shared" ca="1" si="558"/>
        <v>3.4463112804513272</v>
      </c>
      <c r="T43" s="104">
        <f t="shared" ca="1" si="559"/>
        <v>0.34593773957492119</v>
      </c>
      <c r="U43" s="107">
        <f t="shared" ca="1" si="560"/>
        <v>1648.3127905904651</v>
      </c>
      <c r="V43" s="107">
        <f t="shared" ca="1" si="561"/>
        <v>1592.214155560649</v>
      </c>
      <c r="W43" s="105">
        <f t="shared" ca="1" si="562"/>
        <v>1600.8706944227022</v>
      </c>
      <c r="X43" s="102">
        <f t="shared" ca="1" si="563"/>
        <v>1646.4765828500435</v>
      </c>
      <c r="Y43" s="102">
        <f t="shared" ca="1" si="564"/>
        <v>1562.0991460607563</v>
      </c>
      <c r="Z43" s="103">
        <f t="shared" ca="1" si="565"/>
        <v>1619.5562817209657</v>
      </c>
      <c r="AA43" s="103">
        <f t="shared" ca="1" si="566"/>
        <v>1609.3464361500942</v>
      </c>
      <c r="AB43" s="103">
        <f t="shared" ca="1" si="567"/>
        <v>44.292630255631245</v>
      </c>
      <c r="AC43" s="4">
        <v>13.3</v>
      </c>
      <c r="AD43" s="273">
        <f t="shared" ca="1" si="568"/>
        <v>12.420783642405594</v>
      </c>
      <c r="AE43" s="3">
        <f t="shared" ca="1" si="569"/>
        <v>118.22045641680342</v>
      </c>
      <c r="AF43" s="3">
        <f t="shared" ca="1" si="570"/>
        <v>214.0508419998734</v>
      </c>
      <c r="AG43" s="2">
        <f t="shared" ca="1" si="571"/>
        <v>552.30082401111667</v>
      </c>
      <c r="AH43" s="2">
        <f t="shared" ca="1" si="572"/>
        <v>59.93816736831279</v>
      </c>
      <c r="AI43" s="87">
        <f t="shared" si="573"/>
        <v>0.42448067952844459</v>
      </c>
      <c r="AJ43" s="87">
        <f t="shared" ca="1" si="574"/>
        <v>3.4463112804513272</v>
      </c>
      <c r="AK43" s="87">
        <f t="shared" ca="1" si="575"/>
        <v>0.27946406567533311</v>
      </c>
      <c r="AL43" s="86">
        <f t="shared" ca="1" si="576"/>
        <v>0.26093203793018266</v>
      </c>
      <c r="AM43" s="87">
        <f t="shared" ca="1" si="577"/>
        <v>0.34593773957492119</v>
      </c>
      <c r="AN43" s="87">
        <f t="shared" ca="1" si="578"/>
        <v>0.3459377395749213</v>
      </c>
      <c r="AO43" s="96">
        <f t="shared" ca="1" si="579"/>
        <v>41.20139111458451</v>
      </c>
      <c r="AP43" s="96">
        <f t="shared" ca="1" si="580"/>
        <v>8.0278536232292819</v>
      </c>
      <c r="AQ43" s="96">
        <f t="shared" ca="1" si="581"/>
        <v>50.770755262186213</v>
      </c>
      <c r="AR43" s="73"/>
      <c r="AS43" s="53">
        <f t="shared" ca="1" si="138"/>
        <v>79.594426342574437</v>
      </c>
      <c r="AT43" s="68">
        <f t="shared" ca="1" si="582"/>
        <v>91.85369396598972</v>
      </c>
      <c r="AU43" s="74">
        <f t="shared" ca="1" si="583"/>
        <v>0.3459377395749213</v>
      </c>
      <c r="AV43" s="68">
        <f t="shared" si="584"/>
        <v>2.3277695846494222</v>
      </c>
      <c r="AW43" s="68">
        <f t="shared" ca="1" si="585"/>
        <v>2.3684519699113933</v>
      </c>
      <c r="AX43" s="69">
        <f t="shared" ca="1" si="586"/>
        <v>1652.8087966141738</v>
      </c>
      <c r="AY43" s="69">
        <f t="shared" ca="1" si="587"/>
        <v>1648.3127905904651</v>
      </c>
      <c r="AZ43" s="69">
        <f t="shared" ca="1" si="588"/>
        <v>1592.214155560649</v>
      </c>
      <c r="BA43" s="75"/>
      <c r="BB43" s="74">
        <f t="shared" ca="1" si="589"/>
        <v>0.10852449383111251</v>
      </c>
      <c r="BC43" s="74">
        <f t="shared" ca="1" si="590"/>
        <v>1.3912960410713512E-2</v>
      </c>
      <c r="BD43" s="68">
        <f t="shared" si="591"/>
        <v>2.331444539538749E-2</v>
      </c>
      <c r="BE43" s="68">
        <f t="shared" ca="1" si="592"/>
        <v>0.1213299046111595</v>
      </c>
      <c r="BF43" s="68">
        <f t="shared" ca="1" si="593"/>
        <v>0.14844782340115253</v>
      </c>
      <c r="BH43" s="68">
        <f t="shared" ca="1" si="594"/>
        <v>6.5900115757682579E-2</v>
      </c>
      <c r="BI43" s="68">
        <f t="shared" ca="1" si="595"/>
        <v>0.1410058019167505</v>
      </c>
      <c r="BK43" s="53">
        <f t="shared" ca="1" si="596"/>
        <v>0.53731362855214426</v>
      </c>
      <c r="BL43" s="53">
        <f t="shared" si="597"/>
        <v>2.2841045175650804E-2</v>
      </c>
      <c r="BM43" s="53">
        <f t="shared" si="598"/>
        <v>2.2558056901224508E-2</v>
      </c>
      <c r="BN43" s="53">
        <f t="shared" si="599"/>
        <v>0.29275933681433097</v>
      </c>
      <c r="BO43" s="53">
        <f t="shared" si="600"/>
        <v>0.1176007686454506</v>
      </c>
      <c r="BP43" s="53">
        <f t="shared" si="601"/>
        <v>7.6695699661147532E-2</v>
      </c>
      <c r="BQ43" s="54">
        <f t="shared" si="602"/>
        <v>1431.8681759999999</v>
      </c>
      <c r="BR43" s="262">
        <f t="shared" si="603"/>
        <v>4.4346011862056187</v>
      </c>
      <c r="BS43" s="54">
        <f t="shared" si="604"/>
        <v>1633.3194645211861</v>
      </c>
      <c r="BT43" s="67"/>
      <c r="BU43" s="73">
        <f t="shared" si="605"/>
        <v>0.73974850413808424</v>
      </c>
      <c r="BV43" s="73">
        <f t="shared" si="606"/>
        <v>2.6887944932843463E-2</v>
      </c>
      <c r="BW43" s="73">
        <f t="shared" si="607"/>
        <v>0.19861339268924066</v>
      </c>
      <c r="BX43" s="73">
        <f t="shared" si="608"/>
        <v>0.16302848641259166</v>
      </c>
      <c r="BY43" s="73">
        <f t="shared" si="609"/>
        <v>2.0923617704718751E-3</v>
      </c>
      <c r="BZ43" s="73">
        <f t="shared" si="610"/>
        <v>0.47965260545905708</v>
      </c>
      <c r="CA43" s="73">
        <f t="shared" si="611"/>
        <v>0.15997258022707078</v>
      </c>
      <c r="CB43" s="73">
        <f t="shared" si="612"/>
        <v>6.2718310057822774E-2</v>
      </c>
      <c r="CC43" s="73">
        <f t="shared" si="613"/>
        <v>1.7096638105765151E-2</v>
      </c>
      <c r="CD43" s="73">
        <f t="shared" si="614"/>
        <v>1.3158760444766102E-4</v>
      </c>
      <c r="CE43" s="73">
        <f t="shared" si="615"/>
        <v>5.2374554459630835E-3</v>
      </c>
      <c r="CF43" s="73">
        <f t="shared" si="616"/>
        <v>1.8551798668433583</v>
      </c>
      <c r="CG43" s="73">
        <f t="shared" si="617"/>
        <v>0.39874759173448099</v>
      </c>
      <c r="CH43" s="73">
        <f t="shared" si="618"/>
        <v>1.4493443688882885E-2</v>
      </c>
      <c r="CI43" s="73">
        <f t="shared" si="619"/>
        <v>0.10705883361443926</v>
      </c>
      <c r="CJ43" s="73">
        <f t="shared" si="620"/>
        <v>8.7877455618354292E-2</v>
      </c>
      <c r="CK43" s="73">
        <f t="shared" si="621"/>
        <v>1.1278484678858059E-3</v>
      </c>
      <c r="CL43" s="73">
        <f t="shared" si="622"/>
        <v>0.25854776349810205</v>
      </c>
      <c r="CM43" s="73">
        <f t="shared" si="623"/>
        <v>8.6230226559793746E-2</v>
      </c>
      <c r="CN43" s="73">
        <f t="shared" si="624"/>
        <v>3.3807131685047752E-2</v>
      </c>
      <c r="CO43" s="73">
        <f t="shared" si="625"/>
        <v>9.2156229222428825E-3</v>
      </c>
      <c r="CP43" s="73">
        <f t="shared" si="626"/>
        <v>7.092983639993954E-5</v>
      </c>
      <c r="CQ43" s="73">
        <f t="shared" si="627"/>
        <v>2.8231523743704507E-3</v>
      </c>
      <c r="CR43" s="73"/>
      <c r="CS43" s="73">
        <f t="shared" ca="1" si="628"/>
        <v>0.68577548459694593</v>
      </c>
      <c r="CT43" s="73">
        <f t="shared" ca="1" si="629"/>
        <v>0.11173073936296844</v>
      </c>
      <c r="CU43" s="73">
        <f t="shared" ca="1" si="630"/>
        <v>1.2598202298309236</v>
      </c>
      <c r="CV43" s="73">
        <f t="shared" ca="1" si="631"/>
        <v>2.057326453790838</v>
      </c>
      <c r="CW43" s="73">
        <f t="shared" ca="1" si="632"/>
        <v>0.33333333333333331</v>
      </c>
      <c r="CX43" s="73">
        <f t="shared" ca="1" si="633"/>
        <v>5.4308706893401837E-2</v>
      </c>
      <c r="CY43" s="73">
        <f t="shared" ca="1" si="634"/>
        <v>0.61235795977326479</v>
      </c>
      <c r="CZ43" s="73">
        <f t="shared" si="635"/>
        <v>0.43378329414413591</v>
      </c>
      <c r="DA43" s="73">
        <f t="shared" si="636"/>
        <v>0.39874759173448099</v>
      </c>
      <c r="DB43" s="73">
        <f t="shared" si="637"/>
        <v>-0.49851753928597053</v>
      </c>
      <c r="DC43" s="73"/>
      <c r="DD43" s="73">
        <f t="shared" ca="1" si="638"/>
        <v>1652.8087966141738</v>
      </c>
      <c r="DE43" s="73">
        <f t="shared" ca="1" si="639"/>
        <v>15306.44765258527</v>
      </c>
      <c r="DF43" s="73">
        <f t="shared" si="640"/>
        <v>7.9474429460764835</v>
      </c>
      <c r="DG43" s="73">
        <f t="shared" si="641"/>
        <v>1711.6078585625614</v>
      </c>
      <c r="DH43" s="73">
        <f t="shared" si="642"/>
        <v>1438.4578585625613</v>
      </c>
      <c r="DI43" s="73">
        <f t="shared" si="449"/>
        <v>13602.905801982104</v>
      </c>
      <c r="DJ43" s="73">
        <f t="shared" si="643"/>
        <v>7.9474429460764835</v>
      </c>
      <c r="DK43" s="73">
        <f t="shared" si="644"/>
        <v>1711.6078585625614</v>
      </c>
      <c r="DL43" s="73">
        <f t="shared" ca="1" si="645"/>
        <v>3.4463112804513272</v>
      </c>
      <c r="DM43" s="73">
        <f t="shared" si="646"/>
        <v>-0.49851753928597053</v>
      </c>
      <c r="DN43" s="73">
        <f t="shared" si="647"/>
        <v>0.43378329414413591</v>
      </c>
      <c r="DO43" s="73">
        <f t="shared" si="648"/>
        <v>0.39874759173448099</v>
      </c>
      <c r="DP43" s="73">
        <f t="shared" si="649"/>
        <v>2.3277695846494222</v>
      </c>
      <c r="DQ43" s="73">
        <f t="shared" ca="1" si="650"/>
        <v>15306.511665927086</v>
      </c>
      <c r="DR43" s="73">
        <f t="shared" si="651"/>
        <v>7.9472197189043481</v>
      </c>
      <c r="DS43" s="73">
        <f t="shared" ca="1" si="652"/>
        <v>1652.8709491272671</v>
      </c>
      <c r="DT43" s="73">
        <f t="shared" si="653"/>
        <v>1438.5240081618626</v>
      </c>
      <c r="DU43" s="73">
        <f t="shared" ca="1" si="654"/>
        <v>1600.8706944227022</v>
      </c>
      <c r="DV43" s="76">
        <f t="shared" ca="1" si="655"/>
        <v>2.3684519699113933</v>
      </c>
      <c r="DW43" s="73">
        <f t="shared" ca="1" si="656"/>
        <v>2.8796307344115974</v>
      </c>
      <c r="DX43" s="73">
        <f t="shared" ca="1" si="657"/>
        <v>4619.8572884400637</v>
      </c>
      <c r="DY43" s="73">
        <f t="shared" ca="1" si="658"/>
        <v>1604.3228158502245</v>
      </c>
      <c r="DZ43" s="73">
        <f t="shared" ca="1" si="659"/>
        <v>3.7507277833068944</v>
      </c>
      <c r="EA43" s="73"/>
      <c r="EB43" s="73">
        <f t="shared" si="660"/>
        <v>0.73974850413808424</v>
      </c>
      <c r="EC43" s="73">
        <f t="shared" si="661"/>
        <v>2.6887944932843463E-2</v>
      </c>
      <c r="ED43" s="73">
        <f t="shared" si="662"/>
        <v>9.9306696344620332E-2</v>
      </c>
      <c r="EE43" s="73">
        <f t="shared" si="663"/>
        <v>0.16302848641259166</v>
      </c>
      <c r="EF43" s="73">
        <f t="shared" si="664"/>
        <v>2.0923617704718751E-3</v>
      </c>
      <c r="EG43" s="73">
        <f t="shared" si="665"/>
        <v>0.47965260545905708</v>
      </c>
      <c r="EH43" s="73">
        <f t="shared" si="666"/>
        <v>0.15997258022707078</v>
      </c>
      <c r="EI43" s="73">
        <f t="shared" si="667"/>
        <v>3.1359155028911387E-2</v>
      </c>
      <c r="EJ43" s="73">
        <f t="shared" si="668"/>
        <v>8.5483190528825755E-3</v>
      </c>
      <c r="EK43" s="73">
        <f t="shared" si="669"/>
        <v>6.5793802223830508E-5</v>
      </c>
      <c r="EL43" s="73">
        <f t="shared" si="670"/>
        <v>2.6187277229815418E-3</v>
      </c>
      <c r="EM43" s="73">
        <f t="shared" si="671"/>
        <v>1.7132811748917387</v>
      </c>
      <c r="EN43" s="73">
        <f t="shared" si="672"/>
        <v>0.43177297164012118</v>
      </c>
      <c r="EO43" s="73">
        <f t="shared" si="673"/>
        <v>1.5693830835760217E-2</v>
      </c>
      <c r="EP43" s="73">
        <f t="shared" si="674"/>
        <v>5.796287136050244E-2</v>
      </c>
      <c r="EQ43" s="73">
        <f t="shared" si="675"/>
        <v>9.5155709875171732E-2</v>
      </c>
      <c r="ER43" s="73">
        <f t="shared" si="676"/>
        <v>1.22126000164806E-3</v>
      </c>
      <c r="ES43" s="73">
        <f t="shared" si="677"/>
        <v>0.27996140533638098</v>
      </c>
      <c r="ET43" s="73">
        <f t="shared" si="678"/>
        <v>9.3372052743869879E-2</v>
      </c>
      <c r="EU43" s="73">
        <f t="shared" si="679"/>
        <v>1.8303565981160654E-2</v>
      </c>
      <c r="EV43" s="73">
        <f t="shared" si="680"/>
        <v>4.9894431679743043E-3</v>
      </c>
      <c r="EW43" s="73">
        <f t="shared" si="681"/>
        <v>3.840222094776007E-5</v>
      </c>
      <c r="EX43" s="73">
        <f t="shared" si="682"/>
        <v>1.5284868364627993E-3</v>
      </c>
      <c r="EY43" s="73">
        <f t="shared" si="683"/>
        <v>0.99999999999999989</v>
      </c>
      <c r="EZ43" s="73">
        <f t="shared" si="684"/>
        <v>0.10705883361443926</v>
      </c>
      <c r="FA43" s="73">
        <f t="shared" si="685"/>
        <v>0.52029986903780312</v>
      </c>
      <c r="FB43" s="73">
        <f t="shared" si="686"/>
        <v>1.4495292684066938</v>
      </c>
      <c r="FC43" s="73">
        <f t="shared" si="687"/>
        <v>0.81785906066217517</v>
      </c>
      <c r="FD43" s="73">
        <f t="shared" si="688"/>
        <v>1.5718994167241516</v>
      </c>
      <c r="FE43" s="73">
        <f t="shared" ca="1" si="689"/>
        <v>0.16288858646687815</v>
      </c>
      <c r="FF43" s="73">
        <f t="shared" ca="1" si="690"/>
        <v>1.1691089115315115E-2</v>
      </c>
      <c r="FG43" s="73">
        <f t="shared" ca="1" si="691"/>
        <v>7.1773531644541505E-2</v>
      </c>
      <c r="FH43" s="73">
        <f t="shared" ca="1" si="692"/>
        <v>0.25636937905174367</v>
      </c>
      <c r="FI43" s="73">
        <f t="shared" ca="1" si="693"/>
        <v>8.8687843485386386E-2</v>
      </c>
      <c r="FJ43" s="73">
        <f t="shared" ca="1" si="694"/>
        <v>0.3459377395749213</v>
      </c>
      <c r="FK43" s="73">
        <f t="shared" ca="1" si="695"/>
        <v>8.8687843485386372E-2</v>
      </c>
      <c r="FL43" s="73">
        <f t="shared" ca="1" si="696"/>
        <v>8.8687843485386358E-2</v>
      </c>
      <c r="FM43" s="73"/>
      <c r="FN43" s="73"/>
      <c r="FO43" s="73"/>
      <c r="FP43" s="73">
        <f t="shared" ca="1" si="697"/>
        <v>1.8370738793197945</v>
      </c>
      <c r="FQ43" s="73">
        <f t="shared" ca="1" si="698"/>
        <v>0.16292612068020551</v>
      </c>
      <c r="FR43" s="73">
        <f t="shared" si="479"/>
        <v>0.33333333333333331</v>
      </c>
      <c r="FS43" s="73">
        <f t="shared" ca="1" si="699"/>
        <v>5.4308706893401837E-2</v>
      </c>
      <c r="FT43" s="73">
        <f t="shared" ca="1" si="700"/>
        <v>0.61235795977326479</v>
      </c>
      <c r="FU43" s="73">
        <f t="shared" si="701"/>
        <v>20.026666666666664</v>
      </c>
      <c r="FV43" s="73">
        <f t="shared" ca="1" si="702"/>
        <v>3.9020805902909217</v>
      </c>
      <c r="FW43" s="73">
        <f t="shared" ca="1" si="703"/>
        <v>24.678025778862569</v>
      </c>
      <c r="FX43" s="73">
        <f t="shared" ca="1" si="704"/>
        <v>48.606773035820154</v>
      </c>
      <c r="FY43" s="73">
        <f t="shared" ca="1" si="705"/>
        <v>41.20139111458451</v>
      </c>
      <c r="FZ43" s="73">
        <f t="shared" ca="1" si="706"/>
        <v>8.0278536232292819</v>
      </c>
      <c r="GA43" s="73">
        <f t="shared" ca="1" si="707"/>
        <v>50.770755262186213</v>
      </c>
      <c r="GB43" s="73">
        <f t="shared" ca="1" si="708"/>
        <v>91.85369396598972</v>
      </c>
      <c r="GC43" s="73">
        <f t="shared" ca="1" si="709"/>
        <v>3446311280.4513273</v>
      </c>
      <c r="GD43" s="2">
        <f t="shared" si="152"/>
        <v>38</v>
      </c>
      <c r="GE43">
        <f t="shared" ca="1" si="710"/>
        <v>1517.6183508213635</v>
      </c>
      <c r="GF43">
        <f t="shared" ca="1" si="711"/>
        <v>1517.3942475732074</v>
      </c>
      <c r="GG43">
        <f t="shared" ca="1" si="712"/>
        <v>1847.6784911627017</v>
      </c>
      <c r="GH43" s="2">
        <f t="shared" ca="1" si="713"/>
        <v>0.39638143677230486</v>
      </c>
      <c r="GI43" s="2">
        <f t="shared" ca="1" si="714"/>
        <v>1.154213993303699</v>
      </c>
      <c r="GJ43" s="2">
        <f t="shared" ca="1" si="715"/>
        <v>-1.5027099475818413</v>
      </c>
      <c r="GK43" s="2">
        <f t="shared" ca="1" si="716"/>
        <v>1.35404964299769</v>
      </c>
      <c r="GL43" s="2">
        <f t="shared" ca="1" si="717"/>
        <v>-0.39638143677230486</v>
      </c>
      <c r="GM43">
        <f t="shared" ca="1" si="718"/>
        <v>0.36992980165164324</v>
      </c>
      <c r="GN43">
        <f t="shared" ca="1" si="719"/>
        <v>5.0624175007850949E-2</v>
      </c>
      <c r="GO43">
        <f t="shared" ca="1" si="720"/>
        <v>-0.15766709729383119</v>
      </c>
      <c r="GP43">
        <f t="shared" ca="1" si="721"/>
        <v>-0.14636887163707227</v>
      </c>
      <c r="GQ43">
        <f t="shared" ca="1" si="722"/>
        <v>0.28413876829223172</v>
      </c>
      <c r="GR43">
        <f t="shared" ca="1" si="723"/>
        <v>0.1368480581500241</v>
      </c>
      <c r="GS43">
        <f t="shared" ca="1" si="724"/>
        <v>3.9325949351092029E-2</v>
      </c>
      <c r="GT43">
        <f t="shared" ca="1" si="725"/>
        <v>3.1954061609200729E-3</v>
      </c>
      <c r="GU43">
        <f t="shared" ca="1" si="726"/>
        <v>0.47649599504713491</v>
      </c>
      <c r="GV43">
        <f t="shared" ca="1" si="727"/>
        <v>-0.30911216814663395</v>
      </c>
      <c r="GW43">
        <f t="shared" ca="1" si="728"/>
        <v>0.53731362855214426</v>
      </c>
      <c r="GY43" s="15">
        <f t="shared" si="729"/>
        <v>0.19984109079237344</v>
      </c>
      <c r="GZ43" s="2">
        <f t="shared" si="730"/>
        <v>7.369510441721043E-2</v>
      </c>
      <c r="HA43" s="2">
        <f t="shared" si="731"/>
        <v>1.9634370183508922E-2</v>
      </c>
      <c r="HB43" s="2">
        <f t="shared" si="732"/>
        <v>0.29317056539309283</v>
      </c>
      <c r="HC43" s="2">
        <f t="shared" si="733"/>
        <v>0.68165468973469379</v>
      </c>
      <c r="HD43" s="2">
        <f t="shared" si="734"/>
        <v>0.25137279494071169</v>
      </c>
      <c r="HE43" s="2">
        <f t="shared" si="735"/>
        <v>6.6972515324594431E-2</v>
      </c>
      <c r="HF43" s="2">
        <f t="shared" si="736"/>
        <v>-1.2311204094335508</v>
      </c>
      <c r="HG43" s="2">
        <f t="shared" si="737"/>
        <v>-1.3262610989435362</v>
      </c>
      <c r="HH43" s="2">
        <f t="shared" si="738"/>
        <v>-1.2786907541885435</v>
      </c>
      <c r="HI43" s="2">
        <f t="shared" si="739"/>
        <v>1.4584081263819868</v>
      </c>
      <c r="HJ43" s="2">
        <f t="shared" si="740"/>
        <v>0.27413478439907635</v>
      </c>
      <c r="HK43" s="2">
        <f t="shared" si="741"/>
        <v>0.34323199551771733</v>
      </c>
      <c r="HL43" s="2">
        <f t="shared" si="742"/>
        <v>0.68467441487256808</v>
      </c>
    </row>
    <row r="44" spans="1:220" ht="20.25">
      <c r="A44" s="296" t="s">
        <v>314</v>
      </c>
      <c r="B44" s="77">
        <v>3500</v>
      </c>
      <c r="C44" s="95">
        <f t="shared" ca="1" si="554"/>
        <v>-4.9462188473406741</v>
      </c>
      <c r="D44" s="70">
        <f t="shared" ca="1" si="555"/>
        <v>-5.0814854526750306</v>
      </c>
      <c r="E44" s="71">
        <f t="shared" ca="1" si="556"/>
        <v>-4.9462188473406741</v>
      </c>
      <c r="F44" s="322">
        <v>48</v>
      </c>
      <c r="G44" s="322">
        <v>0.9</v>
      </c>
      <c r="H44" s="322">
        <v>15.2</v>
      </c>
      <c r="I44" s="322">
        <v>8.4</v>
      </c>
      <c r="J44" s="322">
        <v>0.1</v>
      </c>
      <c r="K44" s="322">
        <v>14.6</v>
      </c>
      <c r="L44" s="322">
        <v>10.6</v>
      </c>
      <c r="M44" s="322">
        <v>2.2000000000000002</v>
      </c>
      <c r="N44" s="322">
        <v>0</v>
      </c>
      <c r="O44" s="328">
        <v>0.01</v>
      </c>
      <c r="P44" s="329">
        <v>0</v>
      </c>
      <c r="Q44" s="84"/>
      <c r="R44" s="72">
        <f t="shared" si="557"/>
        <v>100.00999999999999</v>
      </c>
      <c r="S44" s="106">
        <f t="shared" ca="1" si="558"/>
        <v>1.8514229051567361</v>
      </c>
      <c r="T44" s="104">
        <f t="shared" ca="1" si="559"/>
        <v>0.34305446324125388</v>
      </c>
      <c r="U44" s="107">
        <f t="shared" ca="1" si="560"/>
        <v>1439.1654204411923</v>
      </c>
      <c r="V44" s="107">
        <f t="shared" ca="1" si="561"/>
        <v>1417.2779239733311</v>
      </c>
      <c r="W44" s="105">
        <f t="shared" ca="1" si="562"/>
        <v>1425.5136052852888</v>
      </c>
      <c r="X44" s="102">
        <f t="shared" ca="1" si="563"/>
        <v>1526.5603770338778</v>
      </c>
      <c r="Y44" s="102">
        <f t="shared" ca="1" si="564"/>
        <v>1455.4852733347464</v>
      </c>
      <c r="Z44" s="103">
        <f t="shared" ca="1" si="565"/>
        <v>1485.3322021289073</v>
      </c>
      <c r="AA44" s="103">
        <f t="shared" ca="1" si="566"/>
        <v>1464.5331507962737</v>
      </c>
      <c r="AB44" s="103">
        <f t="shared" ca="1" si="567"/>
        <v>41.307535931324509</v>
      </c>
      <c r="AC44" s="4">
        <v>13.3</v>
      </c>
      <c r="AD44" s="273">
        <f t="shared" ca="1" si="568"/>
        <v>11.125074780382564</v>
      </c>
      <c r="AE44" s="3">
        <f t="shared" ca="1" si="569"/>
        <v>105.01651422524351</v>
      </c>
      <c r="AF44" s="3">
        <f t="shared" ca="1" si="570"/>
        <v>212.7240242576857</v>
      </c>
      <c r="AG44" s="2">
        <f t="shared" ca="1" si="571"/>
        <v>493.67491326710967</v>
      </c>
      <c r="AH44" s="2">
        <f t="shared" ca="1" si="572"/>
        <v>67.852445092924484</v>
      </c>
      <c r="AI44" s="87">
        <f t="shared" si="573"/>
        <v>0.30817834496316487</v>
      </c>
      <c r="AJ44" s="87">
        <f t="shared" ca="1" si="574"/>
        <v>1.8514229051567361</v>
      </c>
      <c r="AK44" s="87">
        <f t="shared" ca="1" si="575"/>
        <v>0.27908536115753851</v>
      </c>
      <c r="AL44" s="86">
        <f t="shared" ca="1" si="576"/>
        <v>0.27567902158334401</v>
      </c>
      <c r="AM44" s="87">
        <f t="shared" ca="1" si="577"/>
        <v>0.34305446324125388</v>
      </c>
      <c r="AN44" s="87">
        <f t="shared" ca="1" si="578"/>
        <v>0.34305446324125372</v>
      </c>
      <c r="AO44" s="96">
        <f t="shared" ca="1" si="579"/>
        <v>41.197256638138278</v>
      </c>
      <c r="AP44" s="96">
        <f t="shared" ca="1" si="580"/>
        <v>8.0499006671194095</v>
      </c>
      <c r="AQ44" s="96">
        <f t="shared" ca="1" si="581"/>
        <v>50.752842694742306</v>
      </c>
      <c r="AR44" s="73"/>
      <c r="AS44" s="53">
        <f t="shared" ca="1" si="138"/>
        <v>79.407582935377107</v>
      </c>
      <c r="AT44" s="68">
        <f t="shared" ca="1" si="582"/>
        <v>91.83050182138355</v>
      </c>
      <c r="AU44" s="74">
        <f t="shared" ca="1" si="583"/>
        <v>0.34305446324125372</v>
      </c>
      <c r="AV44" s="68">
        <f t="shared" si="584"/>
        <v>3.0895307411555901</v>
      </c>
      <c r="AW44" s="68">
        <f t="shared" ca="1" si="585"/>
        <v>3.1246923535712261</v>
      </c>
      <c r="AX44" s="69">
        <f t="shared" ca="1" si="586"/>
        <v>1440.3438334565708</v>
      </c>
      <c r="AY44" s="69">
        <f t="shared" ca="1" si="587"/>
        <v>1439.1654204411923</v>
      </c>
      <c r="AZ44" s="69">
        <f t="shared" ca="1" si="588"/>
        <v>1417.2779239733311</v>
      </c>
      <c r="BA44" s="75"/>
      <c r="BB44" s="74">
        <f t="shared" ca="1" si="589"/>
        <v>0.13744357525457643</v>
      </c>
      <c r="BC44" s="74">
        <f t="shared" ca="1" si="590"/>
        <v>4.4822831054993788E-2</v>
      </c>
      <c r="BD44" s="68">
        <f t="shared" si="591"/>
        <v>9.317999999999993E-2</v>
      </c>
      <c r="BE44" s="68">
        <f t="shared" ca="1" si="592"/>
        <v>0.19858575960126262</v>
      </c>
      <c r="BF44" s="68">
        <f t="shared" ca="1" si="593"/>
        <v>0.12281183739771073</v>
      </c>
      <c r="BH44" s="68">
        <f t="shared" ca="1" si="594"/>
        <v>9.8686948936460864E-2</v>
      </c>
      <c r="BI44" s="68">
        <f t="shared" ca="1" si="595"/>
        <v>0.13519670401933243</v>
      </c>
      <c r="BK44" s="53">
        <f t="shared" ca="1" si="596"/>
        <v>0.17328969591656074</v>
      </c>
      <c r="BL44" s="53">
        <f t="shared" si="597"/>
        <v>0.14081987628279882</v>
      </c>
      <c r="BM44" s="53">
        <f t="shared" si="598"/>
        <v>0.22053300304457596</v>
      </c>
      <c r="BN44" s="53">
        <f t="shared" si="599"/>
        <v>0.21866420007530923</v>
      </c>
      <c r="BO44" s="53">
        <f t="shared" si="600"/>
        <v>0.16530121205156501</v>
      </c>
      <c r="BP44" s="53">
        <f t="shared" si="601"/>
        <v>0.21941717357580304</v>
      </c>
      <c r="BQ44" s="54">
        <f t="shared" si="602"/>
        <v>1342.1343999999999</v>
      </c>
      <c r="BR44" s="262">
        <f t="shared" si="603"/>
        <v>2.5240602243418402</v>
      </c>
      <c r="BS44" s="54">
        <f t="shared" si="604"/>
        <v>1468.0043922916941</v>
      </c>
      <c r="BT44" s="67"/>
      <c r="BU44" s="73">
        <f t="shared" si="605"/>
        <v>0.79893475366178435</v>
      </c>
      <c r="BV44" s="73">
        <f t="shared" si="606"/>
        <v>1.1264080100125156E-2</v>
      </c>
      <c r="BW44" s="73">
        <f t="shared" si="607"/>
        <v>0.29815613966261278</v>
      </c>
      <c r="BX44" s="73">
        <f t="shared" si="608"/>
        <v>0.11691022964509395</v>
      </c>
      <c r="BY44" s="73">
        <f t="shared" si="609"/>
        <v>1.4096419509444602E-3</v>
      </c>
      <c r="BZ44" s="73">
        <f t="shared" si="610"/>
        <v>0.3622828784119107</v>
      </c>
      <c r="CA44" s="73">
        <f t="shared" si="611"/>
        <v>0.18901569186875891</v>
      </c>
      <c r="CB44" s="73">
        <f t="shared" si="612"/>
        <v>7.0990642142626667E-2</v>
      </c>
      <c r="CC44" s="73">
        <f t="shared" si="613"/>
        <v>0</v>
      </c>
      <c r="CD44" s="73">
        <f t="shared" si="614"/>
        <v>1.3158760444766102E-4</v>
      </c>
      <c r="CE44" s="73">
        <f t="shared" si="615"/>
        <v>0</v>
      </c>
      <c r="CF44" s="73">
        <f t="shared" si="616"/>
        <v>1.8490956450483045</v>
      </c>
      <c r="CG44" s="73">
        <f t="shared" si="617"/>
        <v>0.43206783586411701</v>
      </c>
      <c r="CH44" s="73">
        <f t="shared" si="618"/>
        <v>6.0916698010128629E-3</v>
      </c>
      <c r="CI44" s="73">
        <f t="shared" si="619"/>
        <v>0.16124430364705336</v>
      </c>
      <c r="CJ44" s="73">
        <f t="shared" si="620"/>
        <v>6.3225625974604405E-2</v>
      </c>
      <c r="CK44" s="73">
        <f t="shared" si="621"/>
        <v>7.6234128543828557E-4</v>
      </c>
      <c r="CL44" s="73">
        <f t="shared" si="622"/>
        <v>0.19592435868964836</v>
      </c>
      <c r="CM44" s="73">
        <f t="shared" si="623"/>
        <v>0.10222061383083361</v>
      </c>
      <c r="CN44" s="73">
        <f t="shared" si="624"/>
        <v>3.8392087684989466E-2</v>
      </c>
      <c r="CO44" s="73">
        <f t="shared" si="625"/>
        <v>0</v>
      </c>
      <c r="CP44" s="73">
        <f t="shared" si="626"/>
        <v>7.1163222302772513E-5</v>
      </c>
      <c r="CQ44" s="73">
        <f t="shared" si="627"/>
        <v>0</v>
      </c>
      <c r="CR44" s="73"/>
      <c r="CS44" s="73">
        <f t="shared" ca="1" si="628"/>
        <v>0.68570666841108985</v>
      </c>
      <c r="CT44" s="73">
        <f t="shared" ca="1" si="629"/>
        <v>0.11203758757299109</v>
      </c>
      <c r="CU44" s="73">
        <f t="shared" ca="1" si="630"/>
        <v>1.2593757492491888</v>
      </c>
      <c r="CV44" s="73">
        <f t="shared" ca="1" si="631"/>
        <v>2.0571200052332697</v>
      </c>
      <c r="CW44" s="73">
        <f t="shared" ca="1" si="632"/>
        <v>0.33333333333333331</v>
      </c>
      <c r="CX44" s="73">
        <f t="shared" ca="1" si="633"/>
        <v>5.4463321190776348E-2</v>
      </c>
      <c r="CY44" s="73">
        <f t="shared" ca="1" si="634"/>
        <v>0.61220334547589039</v>
      </c>
      <c r="CZ44" s="73">
        <f t="shared" si="635"/>
        <v>0.36213293978052463</v>
      </c>
      <c r="DA44" s="73">
        <f t="shared" si="636"/>
        <v>0.43206783586411701</v>
      </c>
      <c r="DB44" s="73">
        <f t="shared" si="637"/>
        <v>-0.65819739536895716</v>
      </c>
      <c r="DC44" s="73"/>
      <c r="DD44" s="73">
        <f t="shared" ca="1" si="638"/>
        <v>1440.3438334565708</v>
      </c>
      <c r="DE44" s="73">
        <f t="shared" ca="1" si="639"/>
        <v>14518.057483425646</v>
      </c>
      <c r="DF44" s="73">
        <f t="shared" si="640"/>
        <v>8.4727807010188538</v>
      </c>
      <c r="DG44" s="73">
        <f t="shared" si="641"/>
        <v>1605.4830500152507</v>
      </c>
      <c r="DH44" s="73">
        <f t="shared" si="642"/>
        <v>1332.3330500152506</v>
      </c>
      <c r="DI44" s="73">
        <f t="shared" si="449"/>
        <v>13602.905801982104</v>
      </c>
      <c r="DJ44" s="73">
        <f t="shared" si="643"/>
        <v>8.4727807010188538</v>
      </c>
      <c r="DK44" s="73">
        <f t="shared" si="644"/>
        <v>1605.4830500152507</v>
      </c>
      <c r="DL44" s="73">
        <f t="shared" ca="1" si="645"/>
        <v>1.8514229051567361</v>
      </c>
      <c r="DM44" s="73">
        <f t="shared" si="646"/>
        <v>-0.65819739536895716</v>
      </c>
      <c r="DN44" s="73">
        <f t="shared" si="647"/>
        <v>0.36213293978052463</v>
      </c>
      <c r="DO44" s="73">
        <f t="shared" si="648"/>
        <v>0.43206783586411701</v>
      </c>
      <c r="DP44" s="73">
        <f t="shared" si="649"/>
        <v>3.0895307411555901</v>
      </c>
      <c r="DQ44" s="73">
        <f t="shared" ca="1" si="650"/>
        <v>14518.158342018969</v>
      </c>
      <c r="DR44" s="73">
        <f t="shared" si="651"/>
        <v>8.4725574738467184</v>
      </c>
      <c r="DS44" s="73">
        <f t="shared" ca="1" si="652"/>
        <v>1440.4008831700403</v>
      </c>
      <c r="DT44" s="73">
        <f t="shared" si="653"/>
        <v>1332.3923019543031</v>
      </c>
      <c r="DU44" s="73">
        <f t="shared" ca="1" si="654"/>
        <v>1425.5136052852888</v>
      </c>
      <c r="DV44" s="76">
        <f t="shared" ca="1" si="655"/>
        <v>3.1246923535712261</v>
      </c>
      <c r="DW44" s="73">
        <f t="shared" ca="1" si="656"/>
        <v>3.184805831484947</v>
      </c>
      <c r="DX44" s="73">
        <f t="shared" ca="1" si="657"/>
        <v>4531.994887845085</v>
      </c>
      <c r="DY44" s="73">
        <f t="shared" ca="1" si="658"/>
        <v>1423.0050834000131</v>
      </c>
      <c r="DZ44" s="73">
        <f t="shared" ca="1" si="659"/>
        <v>4.7536948046517002</v>
      </c>
      <c r="EA44" s="73"/>
      <c r="EB44" s="73">
        <f t="shared" si="660"/>
        <v>0.79893475366178435</v>
      </c>
      <c r="EC44" s="73">
        <f t="shared" si="661"/>
        <v>1.1264080100125156E-2</v>
      </c>
      <c r="ED44" s="73">
        <f t="shared" si="662"/>
        <v>0.14907806983130639</v>
      </c>
      <c r="EE44" s="73">
        <f t="shared" si="663"/>
        <v>0.11691022964509395</v>
      </c>
      <c r="EF44" s="73">
        <f t="shared" si="664"/>
        <v>1.4096419509444602E-3</v>
      </c>
      <c r="EG44" s="73">
        <f t="shared" si="665"/>
        <v>0.3622828784119107</v>
      </c>
      <c r="EH44" s="73">
        <f t="shared" si="666"/>
        <v>0.18901569186875891</v>
      </c>
      <c r="EI44" s="73">
        <f t="shared" si="667"/>
        <v>3.5495321071313334E-2</v>
      </c>
      <c r="EJ44" s="73">
        <f t="shared" si="668"/>
        <v>0</v>
      </c>
      <c r="EK44" s="73">
        <f t="shared" si="669"/>
        <v>6.5793802223830508E-5</v>
      </c>
      <c r="EL44" s="73">
        <f t="shared" si="670"/>
        <v>0</v>
      </c>
      <c r="EM44" s="73">
        <f t="shared" si="671"/>
        <v>1.6644564603434611</v>
      </c>
      <c r="EN44" s="73">
        <f t="shared" si="672"/>
        <v>0.47999738815452336</v>
      </c>
      <c r="EO44" s="73">
        <f t="shared" si="673"/>
        <v>6.7674225000759767E-3</v>
      </c>
      <c r="EP44" s="73">
        <f t="shared" si="674"/>
        <v>8.9565616994597794E-2</v>
      </c>
      <c r="EQ44" s="73">
        <f t="shared" si="675"/>
        <v>7.0239283772535271E-2</v>
      </c>
      <c r="ER44" s="73">
        <f t="shared" si="676"/>
        <v>8.4690827578246181E-4</v>
      </c>
      <c r="ES44" s="73">
        <f t="shared" si="677"/>
        <v>0.21765836898920957</v>
      </c>
      <c r="ET44" s="73">
        <f t="shared" si="678"/>
        <v>0.11356000975222594</v>
      </c>
      <c r="EU44" s="73">
        <f t="shared" si="679"/>
        <v>2.1325472859764001E-2</v>
      </c>
      <c r="EV44" s="73">
        <f t="shared" si="680"/>
        <v>0</v>
      </c>
      <c r="EW44" s="73">
        <f t="shared" si="681"/>
        <v>3.952870128561605E-5</v>
      </c>
      <c r="EX44" s="73">
        <f t="shared" si="682"/>
        <v>0</v>
      </c>
      <c r="EY44" s="73">
        <f t="shared" si="683"/>
        <v>1</v>
      </c>
      <c r="EZ44" s="73">
        <f t="shared" si="684"/>
        <v>0.16124430364705336</v>
      </c>
      <c r="FA44" s="73">
        <f t="shared" si="685"/>
        <v>0.59940380931218329</v>
      </c>
      <c r="FB44" s="73">
        <f t="shared" si="686"/>
        <v>1.4996211952573135</v>
      </c>
      <c r="FC44" s="73">
        <f t="shared" si="687"/>
        <v>0.60162715326589389</v>
      </c>
      <c r="FD44" s="73">
        <f t="shared" si="688"/>
        <v>1.0037092589656076</v>
      </c>
      <c r="FE44" s="73">
        <f t="shared" ca="1" si="689"/>
        <v>0.12219907280384172</v>
      </c>
      <c r="FF44" s="73">
        <f t="shared" ca="1" si="690"/>
        <v>6.89745109449538E-3</v>
      </c>
      <c r="FG44" s="73">
        <f t="shared" ca="1" si="691"/>
        <v>5.6444381583544513E-2</v>
      </c>
      <c r="FH44" s="73">
        <f t="shared" ca="1" si="692"/>
        <v>0.25932557450314603</v>
      </c>
      <c r="FI44" s="73">
        <f t="shared" ca="1" si="693"/>
        <v>8.8962795765906516E-2</v>
      </c>
      <c r="FJ44" s="73">
        <f t="shared" ca="1" si="694"/>
        <v>0.34305446324125372</v>
      </c>
      <c r="FK44" s="73">
        <f t="shared" ca="1" si="695"/>
        <v>8.896279576590653E-2</v>
      </c>
      <c r="FL44" s="73">
        <f t="shared" ca="1" si="696"/>
        <v>8.8962795765906558E-2</v>
      </c>
      <c r="FM44" s="73"/>
      <c r="FN44" s="73"/>
      <c r="FO44" s="73"/>
      <c r="FP44" s="73">
        <f t="shared" ca="1" si="697"/>
        <v>1.836610036427671</v>
      </c>
      <c r="FQ44" s="73">
        <f t="shared" ca="1" si="698"/>
        <v>0.16338996357232904</v>
      </c>
      <c r="FR44" s="73">
        <f t="shared" si="479"/>
        <v>0.33333333333333331</v>
      </c>
      <c r="FS44" s="73">
        <f t="shared" ca="1" si="699"/>
        <v>5.4463321190776348E-2</v>
      </c>
      <c r="FT44" s="73">
        <f t="shared" ca="1" si="700"/>
        <v>0.61220334547589028</v>
      </c>
      <c r="FU44" s="73">
        <f t="shared" si="701"/>
        <v>20.026666666666664</v>
      </c>
      <c r="FV44" s="73">
        <f t="shared" ca="1" si="702"/>
        <v>3.9131896275572804</v>
      </c>
      <c r="FW44" s="73">
        <f t="shared" ca="1" si="703"/>
        <v>24.671794822678375</v>
      </c>
      <c r="FX44" s="73">
        <f t="shared" ca="1" si="704"/>
        <v>48.611651116902323</v>
      </c>
      <c r="FY44" s="73">
        <f t="shared" ca="1" si="705"/>
        <v>41.197256638138278</v>
      </c>
      <c r="FZ44" s="73">
        <f t="shared" ca="1" si="706"/>
        <v>8.0499006671194095</v>
      </c>
      <c r="GA44" s="73">
        <f t="shared" ca="1" si="707"/>
        <v>50.752842694742306</v>
      </c>
      <c r="GB44" s="73">
        <f t="shared" ca="1" si="708"/>
        <v>91.83050182138355</v>
      </c>
      <c r="GC44" s="73">
        <f t="shared" ca="1" si="709"/>
        <v>1851422905.1567361</v>
      </c>
      <c r="GD44" s="2">
        <f t="shared" si="152"/>
        <v>38</v>
      </c>
      <c r="GE44">
        <f t="shared" ca="1" si="710"/>
        <v>1349.0925683898249</v>
      </c>
      <c r="GF44">
        <f t="shared" ca="1" si="711"/>
        <v>1348.5587824821664</v>
      </c>
      <c r="GG44">
        <f t="shared" ca="1" si="712"/>
        <v>1759.9314621915933</v>
      </c>
      <c r="GH44" s="2">
        <f t="shared" ca="1" si="713"/>
        <v>0.22025438836391831</v>
      </c>
      <c r="GI44" s="2">
        <f t="shared" ca="1" si="714"/>
        <v>1.6358702826426654</v>
      </c>
      <c r="GJ44" s="2">
        <f t="shared" ca="1" si="715"/>
        <v>-2.4149860982503473</v>
      </c>
      <c r="GK44" s="2">
        <f t="shared" ca="1" si="716"/>
        <v>1.7862643927025244</v>
      </c>
      <c r="GL44" s="2">
        <f t="shared" ca="1" si="717"/>
        <v>-0.22025438836391831</v>
      </c>
      <c r="GM44">
        <f t="shared" ca="1" si="718"/>
        <v>0.45065857516508701</v>
      </c>
      <c r="GN44">
        <f t="shared" ca="1" si="719"/>
        <v>9.152567022211329E-2</v>
      </c>
      <c r="GO44">
        <f t="shared" ca="1" si="720"/>
        <v>-0.20635774125667875</v>
      </c>
      <c r="GP44">
        <f t="shared" ca="1" si="721"/>
        <v>-6.1652236159364118E-2</v>
      </c>
      <c r="GQ44">
        <f t="shared" ca="1" si="722"/>
        <v>0.30526841179945735</v>
      </c>
      <c r="GR44">
        <f t="shared" ca="1" si="723"/>
        <v>0.20309315136982636</v>
      </c>
      <c r="GS44">
        <f t="shared" ca="1" si="724"/>
        <v>-5.3179834875201337E-2</v>
      </c>
      <c r="GT44">
        <f t="shared" ca="1" si="725"/>
        <v>1.0666876330757476E-3</v>
      </c>
      <c r="GU44">
        <f t="shared" ca="1" si="726"/>
        <v>0.20975297831980172</v>
      </c>
      <c r="GV44">
        <f t="shared" ca="1" si="727"/>
        <v>-0.48712185756832799</v>
      </c>
      <c r="GW44">
        <f t="shared" ca="1" si="728"/>
        <v>0.17328969591656074</v>
      </c>
      <c r="GY44" s="15">
        <f t="shared" si="729"/>
        <v>0.13188324581082439</v>
      </c>
      <c r="GZ44" s="2">
        <f t="shared" si="730"/>
        <v>9.6372568195959379E-2</v>
      </c>
      <c r="HA44" s="2">
        <f t="shared" si="731"/>
        <v>5.6506101580187068E-2</v>
      </c>
      <c r="HB44" s="2">
        <f t="shared" si="732"/>
        <v>0.28476191558697084</v>
      </c>
      <c r="HC44" s="2">
        <f t="shared" si="733"/>
        <v>0.46313512654589917</v>
      </c>
      <c r="HD44" s="2">
        <f t="shared" si="734"/>
        <v>0.33843208280612108</v>
      </c>
      <c r="HE44" s="2">
        <f t="shared" si="735"/>
        <v>0.19843279064797975</v>
      </c>
      <c r="HF44" s="2">
        <f t="shared" si="736"/>
        <v>-1.3409071442951277</v>
      </c>
      <c r="HG44" s="2">
        <f t="shared" si="737"/>
        <v>-1.3354975020864674</v>
      </c>
      <c r="HH44" s="2">
        <f t="shared" si="738"/>
        <v>-1.3382023231907976</v>
      </c>
      <c r="HI44" s="2">
        <f t="shared" si="739"/>
        <v>2.3556500939190128</v>
      </c>
      <c r="HJ44" s="2">
        <f t="shared" si="740"/>
        <v>0.19105214620424787</v>
      </c>
      <c r="HK44" s="2">
        <f t="shared" si="741"/>
        <v>0.33209161193469694</v>
      </c>
      <c r="HL44" s="2">
        <f t="shared" si="742"/>
        <v>0.9547619047619047</v>
      </c>
    </row>
    <row r="45" spans="1:220" ht="20.25">
      <c r="A45" s="296" t="s">
        <v>315</v>
      </c>
      <c r="B45" s="77">
        <v>3500</v>
      </c>
      <c r="C45" s="95">
        <f t="shared" ca="1" si="554"/>
        <v>-5.16424307091778</v>
      </c>
      <c r="D45" s="70">
        <f t="shared" ca="1" si="555"/>
        <v>-5.3377780927102512</v>
      </c>
      <c r="E45" s="71">
        <f t="shared" ca="1" si="556"/>
        <v>-5.16424307091778</v>
      </c>
      <c r="F45" s="323">
        <v>48.25</v>
      </c>
      <c r="G45" s="323">
        <v>0.9</v>
      </c>
      <c r="H45" s="323">
        <v>15.55</v>
      </c>
      <c r="I45" s="323">
        <v>8.1999999999999993</v>
      </c>
      <c r="J45" s="323">
        <v>0.1</v>
      </c>
      <c r="K45" s="323">
        <v>13.899999999999999</v>
      </c>
      <c r="L45" s="323">
        <v>10.85</v>
      </c>
      <c r="M45" s="323">
        <v>2.25</v>
      </c>
      <c r="N45" s="323">
        <v>0</v>
      </c>
      <c r="O45" s="328">
        <v>0.01</v>
      </c>
      <c r="P45" s="323">
        <v>0</v>
      </c>
      <c r="Q45" s="84"/>
      <c r="R45" s="72">
        <f t="shared" si="557"/>
        <v>100.01</v>
      </c>
      <c r="S45" s="106">
        <f t="shared" ca="1" si="558"/>
        <v>1.7181099777976698</v>
      </c>
      <c r="T45" s="104">
        <f t="shared" ca="1" si="559"/>
        <v>0.3425321923223813</v>
      </c>
      <c r="U45" s="107">
        <f t="shared" ca="1" si="560"/>
        <v>1416.5857866201254</v>
      </c>
      <c r="V45" s="107">
        <f t="shared" ca="1" si="561"/>
        <v>1396.7578665785629</v>
      </c>
      <c r="W45" s="105">
        <f t="shared" ca="1" si="562"/>
        <v>1404.8365216998304</v>
      </c>
      <c r="X45" s="102">
        <f t="shared" ca="1" si="563"/>
        <v>1490.3976232318194</v>
      </c>
      <c r="Y45" s="102">
        <f t="shared" ca="1" si="564"/>
        <v>1429.9379623738539</v>
      </c>
      <c r="Z45" s="103">
        <f t="shared" ca="1" si="565"/>
        <v>1456.3235312557163</v>
      </c>
      <c r="AA45" s="103">
        <f t="shared" ca="1" si="566"/>
        <v>1437.2266553802497</v>
      </c>
      <c r="AB45" s="103">
        <f t="shared" ca="1" si="567"/>
        <v>35.825402043553545</v>
      </c>
      <c r="AC45" s="4">
        <v>13.3</v>
      </c>
      <c r="AD45" s="273">
        <f t="shared" ca="1" si="568"/>
        <v>10.972576369522296</v>
      </c>
      <c r="AE45" s="3">
        <f t="shared" ca="1" si="569"/>
        <v>103.16287013666735</v>
      </c>
      <c r="AF45" s="3">
        <f t="shared" ca="1" si="570"/>
        <v>212.55776283236059</v>
      </c>
      <c r="AG45" s="2">
        <f t="shared" ca="1" si="571"/>
        <v>485.34040235467438</v>
      </c>
      <c r="AH45" s="2">
        <f t="shared" ca="1" si="572"/>
        <v>59.320881744309794</v>
      </c>
      <c r="AI45" s="87">
        <f t="shared" si="573"/>
        <v>0.29893865462387625</v>
      </c>
      <c r="AJ45" s="87">
        <f t="shared" ca="1" si="574"/>
        <v>1.7181099777976698</v>
      </c>
      <c r="AK45" s="87">
        <f t="shared" ca="1" si="575"/>
        <v>0.27895756359307605</v>
      </c>
      <c r="AL45" s="86">
        <f t="shared" ca="1" si="576"/>
        <v>0.27549663897225246</v>
      </c>
      <c r="AM45" s="87">
        <f t="shared" ca="1" si="577"/>
        <v>0.3425321923223813</v>
      </c>
      <c r="AN45" s="87">
        <f t="shared" ca="1" si="578"/>
        <v>0.3425321923223808</v>
      </c>
      <c r="AO45" s="96">
        <f t="shared" ca="1" si="579"/>
        <v>41.164355166568008</v>
      </c>
      <c r="AP45" s="96">
        <f t="shared" ca="1" si="580"/>
        <v>8.2253473523754543</v>
      </c>
      <c r="AQ45" s="96">
        <f t="shared" ca="1" si="581"/>
        <v>50.610297481056527</v>
      </c>
      <c r="AR45" s="73"/>
      <c r="AS45" s="53">
        <f t="shared" ca="1" si="138"/>
        <v>78.980892416772946</v>
      </c>
      <c r="AT45" s="68">
        <f t="shared" ca="1" si="582"/>
        <v>91.645776566674996</v>
      </c>
      <c r="AU45" s="74">
        <f t="shared" ca="1" si="583"/>
        <v>0.3425321923223808</v>
      </c>
      <c r="AV45" s="68">
        <f t="shared" si="584"/>
        <v>3.232587257117856</v>
      </c>
      <c r="AW45" s="68">
        <f t="shared" ca="1" si="585"/>
        <v>3.2700365394232827</v>
      </c>
      <c r="AX45" s="69">
        <f t="shared" ca="1" si="586"/>
        <v>1417.2361928420405</v>
      </c>
      <c r="AY45" s="69">
        <f t="shared" ca="1" si="587"/>
        <v>1416.5857866201254</v>
      </c>
      <c r="AZ45" s="69">
        <f t="shared" ca="1" si="588"/>
        <v>1396.7578665785629</v>
      </c>
      <c r="BA45" s="75"/>
      <c r="BB45" s="74">
        <f t="shared" ca="1" si="589"/>
        <v>0.12222531125887931</v>
      </c>
      <c r="BC45" s="74">
        <f t="shared" ca="1" si="590"/>
        <v>3.7002279223213627E-2</v>
      </c>
      <c r="BD45" s="68">
        <f t="shared" si="591"/>
        <v>8.3094999999999974E-2</v>
      </c>
      <c r="BE45" s="68">
        <f t="shared" ca="1" si="592"/>
        <v>0.17275785163571919</v>
      </c>
      <c r="BF45" s="68">
        <f t="shared" ca="1" si="593"/>
        <v>0.11261966688026365</v>
      </c>
      <c r="BH45" s="68">
        <f t="shared" ca="1" si="594"/>
        <v>8.4606618359677699E-2</v>
      </c>
      <c r="BI45" s="68">
        <f t="shared" ca="1" si="595"/>
        <v>0.12042872651953446</v>
      </c>
      <c r="BK45" s="53">
        <f t="shared" ca="1" si="596"/>
        <v>0.14765728073688839</v>
      </c>
      <c r="BL45" s="53">
        <f t="shared" si="597"/>
        <v>0.11323218275580918</v>
      </c>
      <c r="BM45" s="53">
        <f t="shared" si="598"/>
        <v>0.16777617311118295</v>
      </c>
      <c r="BN45" s="53">
        <f t="shared" si="599"/>
        <v>0.20503162716309253</v>
      </c>
      <c r="BO45" s="53">
        <f t="shared" si="600"/>
        <v>0.15732096610134416</v>
      </c>
      <c r="BP45" s="53">
        <f t="shared" si="601"/>
        <v>0.2263449671597616</v>
      </c>
      <c r="BQ45" s="54">
        <f t="shared" si="602"/>
        <v>1328.2463999999998</v>
      </c>
      <c r="BR45" s="262">
        <f t="shared" si="603"/>
        <v>2.3312807697166233</v>
      </c>
      <c r="BS45" s="54">
        <f t="shared" si="604"/>
        <v>1445.5553247901398</v>
      </c>
      <c r="BT45" s="67"/>
      <c r="BU45" s="73">
        <f t="shared" si="605"/>
        <v>0.80309587217043943</v>
      </c>
      <c r="BV45" s="73">
        <f t="shared" si="606"/>
        <v>1.1264080100125156E-2</v>
      </c>
      <c r="BW45" s="73">
        <f t="shared" si="607"/>
        <v>0.30502157708905459</v>
      </c>
      <c r="BX45" s="73">
        <f t="shared" si="608"/>
        <v>0.11412665274878218</v>
      </c>
      <c r="BY45" s="73">
        <f t="shared" si="609"/>
        <v>1.4096419509444602E-3</v>
      </c>
      <c r="BZ45" s="73">
        <f t="shared" si="610"/>
        <v>0.34491315136476425</v>
      </c>
      <c r="CA45" s="73">
        <f t="shared" si="611"/>
        <v>0.19347360912981454</v>
      </c>
      <c r="CB45" s="73">
        <f t="shared" si="612"/>
        <v>7.2604065827686359E-2</v>
      </c>
      <c r="CC45" s="73">
        <f t="shared" si="613"/>
        <v>0</v>
      </c>
      <c r="CD45" s="73">
        <f t="shared" si="614"/>
        <v>1.3158760444766102E-4</v>
      </c>
      <c r="CE45" s="73">
        <f t="shared" si="615"/>
        <v>0</v>
      </c>
      <c r="CF45" s="73">
        <f t="shared" si="616"/>
        <v>1.8460402379860585</v>
      </c>
      <c r="CG45" s="73">
        <f t="shared" si="617"/>
        <v>0.43503703529592536</v>
      </c>
      <c r="CH45" s="73">
        <f t="shared" si="618"/>
        <v>6.1017522090492061E-3</v>
      </c>
      <c r="CI45" s="73">
        <f t="shared" si="619"/>
        <v>0.16523018881853763</v>
      </c>
      <c r="CJ45" s="73">
        <f t="shared" si="620"/>
        <v>6.1822407984610833E-2</v>
      </c>
      <c r="CK45" s="73">
        <f t="shared" si="621"/>
        <v>7.6360304718076566E-4</v>
      </c>
      <c r="CL45" s="73">
        <f t="shared" si="622"/>
        <v>0.18683945467030988</v>
      </c>
      <c r="CM45" s="73">
        <f t="shared" si="623"/>
        <v>0.10480465438872827</v>
      </c>
      <c r="CN45" s="73">
        <f t="shared" si="624"/>
        <v>3.9329622580109046E-2</v>
      </c>
      <c r="CO45" s="73">
        <f t="shared" si="625"/>
        <v>0</v>
      </c>
      <c r="CP45" s="73">
        <f t="shared" si="626"/>
        <v>7.1281005549053903E-5</v>
      </c>
      <c r="CQ45" s="73">
        <f t="shared" si="627"/>
        <v>0</v>
      </c>
      <c r="CR45" s="73"/>
      <c r="CS45" s="73">
        <f t="shared" ca="1" si="628"/>
        <v>0.68515904072183775</v>
      </c>
      <c r="CT45" s="73">
        <f t="shared" ca="1" si="629"/>
        <v>0.11447943427105713</v>
      </c>
      <c r="CU45" s="73">
        <f t="shared" ca="1" si="630"/>
        <v>1.2558386471726186</v>
      </c>
      <c r="CV45" s="73">
        <f t="shared" ca="1" si="631"/>
        <v>2.0554771221655135</v>
      </c>
      <c r="CW45" s="73">
        <f t="shared" ca="1" si="632"/>
        <v>0.33333333333333331</v>
      </c>
      <c r="CX45" s="73">
        <f t="shared" ca="1" si="633"/>
        <v>5.5694822888833338E-2</v>
      </c>
      <c r="CY45" s="73">
        <f t="shared" ca="1" si="634"/>
        <v>0.61097184377783342</v>
      </c>
      <c r="CZ45" s="73">
        <f t="shared" si="635"/>
        <v>0.35423012009082971</v>
      </c>
      <c r="DA45" s="73">
        <f t="shared" si="636"/>
        <v>0.43503703529592536</v>
      </c>
      <c r="DB45" s="73">
        <f t="shared" si="637"/>
        <v>-0.67494054359961508</v>
      </c>
      <c r="DC45" s="73"/>
      <c r="DD45" s="73">
        <f t="shared" ca="1" si="638"/>
        <v>1417.2361928420405</v>
      </c>
      <c r="DE45" s="73">
        <f t="shared" ca="1" si="639"/>
        <v>14452.157823625088</v>
      </c>
      <c r="DF45" s="73">
        <f t="shared" si="640"/>
        <v>8.5496189479202531</v>
      </c>
      <c r="DG45" s="73">
        <f t="shared" si="641"/>
        <v>1591.0540440274351</v>
      </c>
      <c r="DH45" s="73">
        <f t="shared" si="642"/>
        <v>1317.9040440274352</v>
      </c>
      <c r="DI45" s="73">
        <f t="shared" si="449"/>
        <v>13602.905801982104</v>
      </c>
      <c r="DJ45" s="73">
        <f t="shared" si="643"/>
        <v>8.5496189479202531</v>
      </c>
      <c r="DK45" s="73">
        <f t="shared" si="644"/>
        <v>1591.0540440274351</v>
      </c>
      <c r="DL45" s="73">
        <f t="shared" ca="1" si="645"/>
        <v>1.7181099777976698</v>
      </c>
      <c r="DM45" s="73">
        <f t="shared" si="646"/>
        <v>-0.67494054359961508</v>
      </c>
      <c r="DN45" s="73">
        <f t="shared" si="647"/>
        <v>0.35423012009082977</v>
      </c>
      <c r="DO45" s="73">
        <f t="shared" si="648"/>
        <v>0.43503703529592536</v>
      </c>
      <c r="DP45" s="73">
        <f t="shared" si="649"/>
        <v>3.232587257117856</v>
      </c>
      <c r="DQ45" s="73">
        <f t="shared" ca="1" si="650"/>
        <v>14452.261762025384</v>
      </c>
      <c r="DR45" s="73">
        <f t="shared" si="651"/>
        <v>8.5493957207481195</v>
      </c>
      <c r="DS45" s="73">
        <f t="shared" ca="1" si="652"/>
        <v>1417.2924867072047</v>
      </c>
      <c r="DT45" s="73">
        <f t="shared" si="653"/>
        <v>1317.9623866903721</v>
      </c>
      <c r="DU45" s="73">
        <f t="shared" ca="1" si="654"/>
        <v>1404.8365216998304</v>
      </c>
      <c r="DV45" s="76">
        <f t="shared" ca="1" si="655"/>
        <v>3.2700365394232827</v>
      </c>
      <c r="DW45" s="73">
        <f t="shared" ca="1" si="656"/>
        <v>3.2277136589822919</v>
      </c>
      <c r="DX45" s="73">
        <f t="shared" ca="1" si="657"/>
        <v>4524.6506786768732</v>
      </c>
      <c r="DY45" s="73">
        <f t="shared" ca="1" si="658"/>
        <v>1401.812910536652</v>
      </c>
      <c r="DZ45" s="73">
        <f t="shared" ca="1" si="659"/>
        <v>4.957805560088282</v>
      </c>
      <c r="EA45" s="73"/>
      <c r="EB45" s="73">
        <f t="shared" si="660"/>
        <v>0.80309587217043943</v>
      </c>
      <c r="EC45" s="73">
        <f t="shared" si="661"/>
        <v>1.1264080100125156E-2</v>
      </c>
      <c r="ED45" s="73">
        <f t="shared" si="662"/>
        <v>0.15251078854452729</v>
      </c>
      <c r="EE45" s="73">
        <f t="shared" si="663"/>
        <v>0.11412665274878218</v>
      </c>
      <c r="EF45" s="73">
        <f t="shared" si="664"/>
        <v>1.4096419509444602E-3</v>
      </c>
      <c r="EG45" s="73">
        <f t="shared" si="665"/>
        <v>0.34491315136476425</v>
      </c>
      <c r="EH45" s="73">
        <f t="shared" si="666"/>
        <v>0.19347360912981454</v>
      </c>
      <c r="EI45" s="73">
        <f t="shared" si="667"/>
        <v>3.630203291384318E-2</v>
      </c>
      <c r="EJ45" s="73">
        <f t="shared" si="668"/>
        <v>0</v>
      </c>
      <c r="EK45" s="73">
        <f t="shared" si="669"/>
        <v>6.5793802223830508E-5</v>
      </c>
      <c r="EL45" s="73">
        <f t="shared" si="670"/>
        <v>0</v>
      </c>
      <c r="EM45" s="73">
        <f t="shared" si="671"/>
        <v>1.6571616227254644</v>
      </c>
      <c r="EN45" s="73">
        <f t="shared" si="672"/>
        <v>0.48462133153290216</v>
      </c>
      <c r="EO45" s="73">
        <f t="shared" si="673"/>
        <v>6.7972127435582258E-3</v>
      </c>
      <c r="EP45" s="73">
        <f t="shared" si="674"/>
        <v>9.2031330229394998E-2</v>
      </c>
      <c r="EQ45" s="73">
        <f t="shared" si="675"/>
        <v>6.8868751957387744E-2</v>
      </c>
      <c r="ER45" s="73">
        <f t="shared" si="676"/>
        <v>8.5063637222426204E-4</v>
      </c>
      <c r="ES45" s="73">
        <f t="shared" si="677"/>
        <v>0.20813488958156057</v>
      </c>
      <c r="ET45" s="73">
        <f t="shared" si="678"/>
        <v>0.11674999377044261</v>
      </c>
      <c r="EU45" s="73">
        <f t="shared" si="679"/>
        <v>2.1906151105610776E-2</v>
      </c>
      <c r="EV45" s="73">
        <f t="shared" si="680"/>
        <v>0</v>
      </c>
      <c r="EW45" s="73">
        <f t="shared" si="681"/>
        <v>3.9702706918605922E-5</v>
      </c>
      <c r="EX45" s="73">
        <f t="shared" si="682"/>
        <v>0</v>
      </c>
      <c r="EY45" s="73">
        <f t="shared" si="683"/>
        <v>0.99999999999999989</v>
      </c>
      <c r="EZ45" s="73">
        <f t="shared" si="684"/>
        <v>0.16523018881853763</v>
      </c>
      <c r="FA45" s="73">
        <f t="shared" si="685"/>
        <v>0.60636897632351217</v>
      </c>
      <c r="FB45" s="73">
        <f t="shared" si="686"/>
        <v>1.5041247111269633</v>
      </c>
      <c r="FC45" s="73">
        <f t="shared" si="687"/>
        <v>0.582773516959878</v>
      </c>
      <c r="FD45" s="73">
        <f t="shared" si="688"/>
        <v>0.96108729126167325</v>
      </c>
      <c r="FE45" s="73">
        <f t="shared" ca="1" si="689"/>
        <v>0.12166310558307768</v>
      </c>
      <c r="FF45" s="73">
        <f t="shared" ca="1" si="690"/>
        <v>6.7390087697964006E-3</v>
      </c>
      <c r="FG45" s="73">
        <f t="shared" ca="1" si="691"/>
        <v>5.5390734417794942E-2</v>
      </c>
      <c r="FH45" s="73">
        <f t="shared" ca="1" si="692"/>
        <v>0.26612902108413355</v>
      </c>
      <c r="FI45" s="73">
        <f t="shared" ca="1" si="693"/>
        <v>9.1157757032557366E-2</v>
      </c>
      <c r="FJ45" s="73">
        <f t="shared" ca="1" si="694"/>
        <v>0.3425321923223808</v>
      </c>
      <c r="FK45" s="73">
        <f t="shared" ca="1" si="695"/>
        <v>9.1157757032557421E-2</v>
      </c>
      <c r="FL45" s="73">
        <f t="shared" ca="1" si="696"/>
        <v>9.1157757032557504E-2</v>
      </c>
      <c r="FM45" s="73"/>
      <c r="FN45" s="73"/>
      <c r="FO45" s="73"/>
      <c r="FP45" s="73">
        <f t="shared" ca="1" si="697"/>
        <v>1.8329155313334999</v>
      </c>
      <c r="FQ45" s="73">
        <f t="shared" ca="1" si="698"/>
        <v>0.16708446866650006</v>
      </c>
      <c r="FR45" s="73">
        <f t="shared" si="479"/>
        <v>0.33333333333333331</v>
      </c>
      <c r="FS45" s="73">
        <f t="shared" ca="1" si="699"/>
        <v>5.5694822888833352E-2</v>
      </c>
      <c r="FT45" s="73">
        <f t="shared" ca="1" si="700"/>
        <v>0.61097184377783331</v>
      </c>
      <c r="FU45" s="73">
        <f t="shared" si="701"/>
        <v>20.026666666666664</v>
      </c>
      <c r="FV45" s="73">
        <f t="shared" ca="1" si="702"/>
        <v>4.0016730245626757</v>
      </c>
      <c r="FW45" s="73">
        <f t="shared" ca="1" si="703"/>
        <v>24.622165304246682</v>
      </c>
      <c r="FX45" s="73">
        <f t="shared" ca="1" si="704"/>
        <v>48.650504995476027</v>
      </c>
      <c r="FY45" s="73">
        <f t="shared" ca="1" si="705"/>
        <v>41.164355166568008</v>
      </c>
      <c r="FZ45" s="73">
        <f t="shared" ca="1" si="706"/>
        <v>8.2253473523754543</v>
      </c>
      <c r="GA45" s="73">
        <f t="shared" ca="1" si="707"/>
        <v>50.610297481056527</v>
      </c>
      <c r="GB45" s="73">
        <f t="shared" ca="1" si="708"/>
        <v>91.645776566674982</v>
      </c>
      <c r="GC45" s="73">
        <f t="shared" ca="1" si="709"/>
        <v>1718109977.7976699</v>
      </c>
      <c r="GD45" s="2">
        <f t="shared" si="152"/>
        <v>38</v>
      </c>
      <c r="GE45">
        <f t="shared" ca="1" si="710"/>
        <v>1333.8215789970573</v>
      </c>
      <c r="GF45">
        <f t="shared" ca="1" si="711"/>
        <v>1333.2703087731068</v>
      </c>
      <c r="GG45">
        <f t="shared" ca="1" si="712"/>
        <v>1751.8483544368457</v>
      </c>
      <c r="GH45" s="2">
        <f t="shared" ca="1" si="713"/>
        <v>0.19904407006083022</v>
      </c>
      <c r="GI45" s="2">
        <f t="shared" ca="1" si="714"/>
        <v>1.6761307867051034</v>
      </c>
      <c r="GJ45" s="2">
        <f t="shared" ca="1" si="715"/>
        <v>-2.4912410926997333</v>
      </c>
      <c r="GK45" s="2">
        <f t="shared" ca="1" si="716"/>
        <v>1.8223921960168312</v>
      </c>
      <c r="GL45" s="2">
        <f t="shared" ca="1" si="717"/>
        <v>-0.19904407006083022</v>
      </c>
      <c r="GM45">
        <f t="shared" ca="1" si="718"/>
        <v>0.45567232968929383</v>
      </c>
      <c r="GN45">
        <f t="shared" ca="1" si="719"/>
        <v>9.461455948283265E-2</v>
      </c>
      <c r="GO45">
        <f t="shared" ca="1" si="720"/>
        <v>-0.20955050787399482</v>
      </c>
      <c r="GP45">
        <f t="shared" ca="1" si="721"/>
        <v>-5.4610656941979106E-2</v>
      </c>
      <c r="GQ45">
        <f t="shared" ca="1" si="722"/>
        <v>0.30658069292449619</v>
      </c>
      <c r="GR45">
        <f t="shared" ca="1" si="723"/>
        <v>0.2076372720444685</v>
      </c>
      <c r="GS45">
        <f t="shared" ca="1" si="724"/>
        <v>-6.0325291449183062E-2</v>
      </c>
      <c r="GT45">
        <f t="shared" ca="1" si="725"/>
        <v>9.6863635470978795E-4</v>
      </c>
      <c r="GU45">
        <f t="shared" ca="1" si="726"/>
        <v>0.19622345427255944</v>
      </c>
      <c r="GV45">
        <f t="shared" ca="1" si="727"/>
        <v>-0.50423850322496488</v>
      </c>
      <c r="GW45">
        <f t="shared" ca="1" si="728"/>
        <v>0.14765728073688839</v>
      </c>
      <c r="GY45" s="15">
        <f t="shared" si="729"/>
        <v>0.12583040210105376</v>
      </c>
      <c r="GZ45" s="2">
        <f t="shared" si="730"/>
        <v>9.8868245679871833E-2</v>
      </c>
      <c r="HA45" s="2">
        <f t="shared" si="731"/>
        <v>5.8815232136662843E-2</v>
      </c>
      <c r="HB45" s="2">
        <f t="shared" si="732"/>
        <v>0.28351387991758842</v>
      </c>
      <c r="HC45" s="2">
        <f t="shared" si="733"/>
        <v>0.44382448625665183</v>
      </c>
      <c r="HD45" s="2">
        <f t="shared" si="734"/>
        <v>0.34872453408140291</v>
      </c>
      <c r="HE45" s="2">
        <f t="shared" si="735"/>
        <v>0.20745097966194531</v>
      </c>
      <c r="HF45" s="2">
        <f t="shared" si="736"/>
        <v>-1.3295982440252581</v>
      </c>
      <c r="HG45" s="2">
        <f t="shared" si="737"/>
        <v>-1.3262383040384562</v>
      </c>
      <c r="HH45" s="2">
        <f t="shared" si="738"/>
        <v>-1.3279182740318571</v>
      </c>
      <c r="HI45" s="2">
        <f t="shared" si="739"/>
        <v>2.4165531062735379</v>
      </c>
      <c r="HJ45" s="2">
        <f t="shared" si="740"/>
        <v>0.18317248991403365</v>
      </c>
      <c r="HK45" s="2">
        <f t="shared" si="741"/>
        <v>0.32987129548160032</v>
      </c>
      <c r="HL45" s="2">
        <f t="shared" si="742"/>
        <v>0.97804878048780486</v>
      </c>
    </row>
    <row r="46" spans="1:220" ht="20.25">
      <c r="A46" s="296" t="s">
        <v>316</v>
      </c>
      <c r="B46" s="77">
        <v>3500</v>
      </c>
      <c r="C46" s="95">
        <f t="shared" ca="1" si="554"/>
        <v>-5.3846274162235392</v>
      </c>
      <c r="D46" s="70">
        <f t="shared" ca="1" si="555"/>
        <v>-5.5949803688818776</v>
      </c>
      <c r="E46" s="71">
        <f t="shared" ca="1" si="556"/>
        <v>-5.3846274162235392</v>
      </c>
      <c r="F46" s="322">
        <v>48.5</v>
      </c>
      <c r="G46" s="322">
        <v>0.9</v>
      </c>
      <c r="H46" s="322">
        <v>15.9</v>
      </c>
      <c r="I46" s="322">
        <v>8</v>
      </c>
      <c r="J46" s="322">
        <v>0.1</v>
      </c>
      <c r="K46" s="322">
        <v>13.2</v>
      </c>
      <c r="L46" s="322">
        <v>11.1</v>
      </c>
      <c r="M46" s="322">
        <v>2.2999999999999998</v>
      </c>
      <c r="N46" s="322">
        <v>0</v>
      </c>
      <c r="O46" s="328">
        <v>0.01</v>
      </c>
      <c r="P46" s="329">
        <v>0</v>
      </c>
      <c r="Q46" s="84"/>
      <c r="R46" s="72">
        <f t="shared" si="557"/>
        <v>100.00999999999999</v>
      </c>
      <c r="S46" s="106">
        <f t="shared" ca="1" si="558"/>
        <v>1.5928764968818332</v>
      </c>
      <c r="T46" s="104">
        <f t="shared" ca="1" si="559"/>
        <v>0.34207274197505466</v>
      </c>
      <c r="U46" s="107">
        <f t="shared" ca="1" si="560"/>
        <v>1394.1743696600879</v>
      </c>
      <c r="V46" s="107">
        <f t="shared" ca="1" si="561"/>
        <v>1376.2362819432267</v>
      </c>
      <c r="W46" s="105">
        <f t="shared" ca="1" si="562"/>
        <v>1384.082763414397</v>
      </c>
      <c r="X46" s="102">
        <f t="shared" ca="1" si="563"/>
        <v>1453.3352872807918</v>
      </c>
      <c r="Y46" s="102">
        <f t="shared" ca="1" si="564"/>
        <v>1402.5186432607702</v>
      </c>
      <c r="Z46" s="103">
        <f t="shared" ca="1" si="565"/>
        <v>1426.7846366979365</v>
      </c>
      <c r="AA46" s="103">
        <f t="shared" ca="1" si="566"/>
        <v>1409.7135079147693</v>
      </c>
      <c r="AB46" s="103">
        <f t="shared" ca="1" si="567"/>
        <v>30.617662171019223</v>
      </c>
      <c r="AC46" s="4">
        <v>13.3</v>
      </c>
      <c r="AD46" s="273">
        <f t="shared" ca="1" si="568"/>
        <v>10.819953201479308</v>
      </c>
      <c r="AE46" s="3">
        <f t="shared" ca="1" si="569"/>
        <v>101.2450778831239</v>
      </c>
      <c r="AF46" s="3">
        <f t="shared" ca="1" si="570"/>
        <v>212.38902801119428</v>
      </c>
      <c r="AG46" s="2">
        <f t="shared" ca="1" si="571"/>
        <v>476.6963662444353</v>
      </c>
      <c r="AH46" s="2">
        <f t="shared" ca="1" si="572"/>
        <v>50.712075123540295</v>
      </c>
      <c r="AI46" s="87">
        <f t="shared" si="573"/>
        <v>0.28995061430624847</v>
      </c>
      <c r="AJ46" s="87">
        <f t="shared" ca="1" si="574"/>
        <v>1.5928764968818332</v>
      </c>
      <c r="AK46" s="87">
        <f t="shared" ca="1" si="575"/>
        <v>0.27906816418943753</v>
      </c>
      <c r="AL46" s="86">
        <f t="shared" ca="1" si="576"/>
        <v>0.27529700302574522</v>
      </c>
      <c r="AM46" s="87">
        <f t="shared" ca="1" si="577"/>
        <v>0.34207274197505466</v>
      </c>
      <c r="AN46" s="87">
        <f t="shared" ca="1" si="578"/>
        <v>0.34207274197505472</v>
      </c>
      <c r="AO46" s="96">
        <f t="shared" ca="1" si="579"/>
        <v>41.128219810999958</v>
      </c>
      <c r="AP46" s="96">
        <f t="shared" ca="1" si="580"/>
        <v>8.4180386835648289</v>
      </c>
      <c r="AQ46" s="96">
        <f t="shared" ca="1" si="581"/>
        <v>50.453741505435211</v>
      </c>
      <c r="AR46" s="73"/>
      <c r="AS46" s="53">
        <f t="shared" ca="1" si="138"/>
        <v>78.519092861999795</v>
      </c>
      <c r="AT46" s="68">
        <f t="shared" ca="1" si="582"/>
        <v>91.442554123309009</v>
      </c>
      <c r="AU46" s="74">
        <f t="shared" ca="1" si="583"/>
        <v>0.34207274197505472</v>
      </c>
      <c r="AV46" s="68">
        <f t="shared" si="584"/>
        <v>3.3900619144952198</v>
      </c>
      <c r="AW46" s="68">
        <f t="shared" ca="1" si="585"/>
        <v>3.4301251404305986</v>
      </c>
      <c r="AX46" s="69">
        <f t="shared" ca="1" si="586"/>
        <v>1394.3181445731902</v>
      </c>
      <c r="AY46" s="69">
        <f t="shared" ca="1" si="587"/>
        <v>1394.1743696600879</v>
      </c>
      <c r="AZ46" s="69">
        <f t="shared" ca="1" si="588"/>
        <v>1376.2362819432267</v>
      </c>
      <c r="BA46" s="75"/>
      <c r="BB46" s="74">
        <f t="shared" ca="1" si="589"/>
        <v>0.10638234044674193</v>
      </c>
      <c r="BC46" s="74">
        <f t="shared" ca="1" si="590"/>
        <v>2.8486349002877439E-2</v>
      </c>
      <c r="BD46" s="68">
        <f t="shared" si="591"/>
        <v>7.3009999999999964E-2</v>
      </c>
      <c r="BE46" s="68">
        <f t="shared" ca="1" si="592"/>
        <v>0.1457574710753278</v>
      </c>
      <c r="BF46" s="68">
        <f t="shared" ca="1" si="593"/>
        <v>0.10129020073867492</v>
      </c>
      <c r="BH46" s="68">
        <f t="shared" ca="1" si="594"/>
        <v>7.03954007505143E-2</v>
      </c>
      <c r="BI46" s="68">
        <f t="shared" ca="1" si="595"/>
        <v>0.10547168997296502</v>
      </c>
      <c r="BK46" s="53">
        <f t="shared" ca="1" si="596"/>
        <v>0.1245615237114569</v>
      </c>
      <c r="BL46" s="53">
        <f t="shared" si="597"/>
        <v>8.42605986241311E-2</v>
      </c>
      <c r="BM46" s="53">
        <f t="shared" si="598"/>
        <v>0.11435894119457338</v>
      </c>
      <c r="BN46" s="53">
        <f t="shared" si="599"/>
        <v>0.18952306251479126</v>
      </c>
      <c r="BO46" s="53">
        <f t="shared" si="600"/>
        <v>0.14818898269216779</v>
      </c>
      <c r="BP46" s="53">
        <f t="shared" si="601"/>
        <v>0.23346501966072941</v>
      </c>
      <c r="BQ46" s="54">
        <f t="shared" si="602"/>
        <v>1314.2015999999999</v>
      </c>
      <c r="BR46" s="262">
        <f t="shared" si="603"/>
        <v>2.1560702771840137</v>
      </c>
      <c r="BS46" s="54">
        <f t="shared" si="604"/>
        <v>1423.5274688090399</v>
      </c>
      <c r="BT46" s="67"/>
      <c r="BU46" s="73">
        <f t="shared" si="605"/>
        <v>0.80725699067909451</v>
      </c>
      <c r="BV46" s="73">
        <f t="shared" si="606"/>
        <v>1.1264080100125156E-2</v>
      </c>
      <c r="BW46" s="73">
        <f t="shared" si="607"/>
        <v>0.31188701451549627</v>
      </c>
      <c r="BX46" s="73">
        <f t="shared" si="608"/>
        <v>0.11134307585247043</v>
      </c>
      <c r="BY46" s="73">
        <f t="shared" si="609"/>
        <v>1.4096419509444602E-3</v>
      </c>
      <c r="BZ46" s="73">
        <f t="shared" si="610"/>
        <v>0.32754342431761785</v>
      </c>
      <c r="CA46" s="73">
        <f t="shared" si="611"/>
        <v>0.19793152639087019</v>
      </c>
      <c r="CB46" s="73">
        <f t="shared" si="612"/>
        <v>7.4217489512746052E-2</v>
      </c>
      <c r="CC46" s="73">
        <f t="shared" si="613"/>
        <v>0</v>
      </c>
      <c r="CD46" s="73">
        <f t="shared" si="614"/>
        <v>1.3158760444766102E-4</v>
      </c>
      <c r="CE46" s="73">
        <f t="shared" si="615"/>
        <v>0</v>
      </c>
      <c r="CF46" s="73">
        <f t="shared" si="616"/>
        <v>1.8429848309238124</v>
      </c>
      <c r="CG46" s="73">
        <f t="shared" si="617"/>
        <v>0.43801607974952772</v>
      </c>
      <c r="CH46" s="73">
        <f t="shared" si="618"/>
        <v>6.1118680474862817E-3</v>
      </c>
      <c r="CI46" s="73">
        <f t="shared" si="619"/>
        <v>0.16922929005289758</v>
      </c>
      <c r="CJ46" s="73">
        <f t="shared" si="620"/>
        <v>6.0414537322403643E-2</v>
      </c>
      <c r="CK46" s="73">
        <f t="shared" si="621"/>
        <v>7.6486899256672926E-4</v>
      </c>
      <c r="CL46" s="73">
        <f t="shared" si="622"/>
        <v>0.17772442769018007</v>
      </c>
      <c r="CM46" s="73">
        <f t="shared" si="623"/>
        <v>0.10739726289101104</v>
      </c>
      <c r="CN46" s="73">
        <f t="shared" si="624"/>
        <v>4.0270266074595891E-2</v>
      </c>
      <c r="CO46" s="73">
        <f t="shared" si="625"/>
        <v>0</v>
      </c>
      <c r="CP46" s="73">
        <f t="shared" si="626"/>
        <v>7.1399179331118842E-5</v>
      </c>
      <c r="CQ46" s="73">
        <f t="shared" si="627"/>
        <v>0</v>
      </c>
      <c r="CR46" s="73"/>
      <c r="CS46" s="73">
        <f t="shared" ca="1" si="628"/>
        <v>0.68455758673435352</v>
      </c>
      <c r="CT46" s="73">
        <f t="shared" ca="1" si="629"/>
        <v>0.11716128995914864</v>
      </c>
      <c r="CU46" s="73">
        <f t="shared" ca="1" si="630"/>
        <v>1.2519538835095587</v>
      </c>
      <c r="CV46" s="73">
        <f t="shared" ca="1" si="631"/>
        <v>2.0536727602030611</v>
      </c>
      <c r="CW46" s="73">
        <f t="shared" ca="1" si="632"/>
        <v>0.33333333333333326</v>
      </c>
      <c r="CX46" s="73">
        <f t="shared" ca="1" si="633"/>
        <v>5.7049639177939954E-2</v>
      </c>
      <c r="CY46" s="73">
        <f t="shared" ca="1" si="634"/>
        <v>0.6096170274887267</v>
      </c>
      <c r="CZ46" s="73">
        <f t="shared" si="635"/>
        <v>0.34630109689616145</v>
      </c>
      <c r="DA46" s="73">
        <f t="shared" si="636"/>
        <v>0.43801607974952772</v>
      </c>
      <c r="DB46" s="73">
        <f t="shared" si="637"/>
        <v>-0.69181940370829387</v>
      </c>
      <c r="DC46" s="73"/>
      <c r="DD46" s="73">
        <f t="shared" ca="1" si="638"/>
        <v>1394.3181445731902</v>
      </c>
      <c r="DE46" s="73">
        <f t="shared" ca="1" si="639"/>
        <v>14390.252020853501</v>
      </c>
      <c r="DF46" s="73">
        <f t="shared" si="640"/>
        <v>8.6300011593546042</v>
      </c>
      <c r="DG46" s="73">
        <f t="shared" si="641"/>
        <v>1576.2345277598317</v>
      </c>
      <c r="DH46" s="73">
        <f t="shared" si="642"/>
        <v>1303.0845277598319</v>
      </c>
      <c r="DI46" s="73">
        <f t="shared" si="449"/>
        <v>13602.905801982104</v>
      </c>
      <c r="DJ46" s="73">
        <f t="shared" si="643"/>
        <v>8.6300011593546042</v>
      </c>
      <c r="DK46" s="73">
        <f t="shared" si="644"/>
        <v>1576.2345277598317</v>
      </c>
      <c r="DL46" s="73">
        <f t="shared" ca="1" si="645"/>
        <v>1.5928764968818332</v>
      </c>
      <c r="DM46" s="73">
        <f t="shared" si="646"/>
        <v>-0.69181940370829387</v>
      </c>
      <c r="DN46" s="73">
        <f t="shared" si="647"/>
        <v>0.34630109689616151</v>
      </c>
      <c r="DO46" s="73">
        <f t="shared" si="648"/>
        <v>0.43801607974952772</v>
      </c>
      <c r="DP46" s="73">
        <f t="shared" si="649"/>
        <v>3.3900619144952198</v>
      </c>
      <c r="DQ46" s="73">
        <f t="shared" ca="1" si="650"/>
        <v>14390.358852408684</v>
      </c>
      <c r="DR46" s="73">
        <f t="shared" si="651"/>
        <v>8.6297779321824688</v>
      </c>
      <c r="DS46" s="73">
        <f t="shared" ca="1" si="652"/>
        <v>1394.3736565177023</v>
      </c>
      <c r="DT46" s="73">
        <f t="shared" si="653"/>
        <v>1303.1419436514152</v>
      </c>
      <c r="DU46" s="73">
        <f t="shared" ca="1" si="654"/>
        <v>1384.082763414397</v>
      </c>
      <c r="DV46" s="76">
        <f t="shared" ca="1" si="655"/>
        <v>3.4301251404305986</v>
      </c>
      <c r="DW46" s="73">
        <f t="shared" ca="1" si="656"/>
        <v>3.272951744602874</v>
      </c>
      <c r="DX46" s="73">
        <f t="shared" ca="1" si="657"/>
        <v>4517.75156621322</v>
      </c>
      <c r="DY46" s="73">
        <f t="shared" ca="1" si="658"/>
        <v>1380.3294147746089</v>
      </c>
      <c r="DZ46" s="73">
        <f t="shared" ca="1" si="659"/>
        <v>5.1828058181713956</v>
      </c>
      <c r="EA46" s="73"/>
      <c r="EB46" s="73">
        <f t="shared" si="660"/>
        <v>0.80725699067909451</v>
      </c>
      <c r="EC46" s="73">
        <f t="shared" si="661"/>
        <v>1.1264080100125156E-2</v>
      </c>
      <c r="ED46" s="73">
        <f t="shared" si="662"/>
        <v>0.15594350725774814</v>
      </c>
      <c r="EE46" s="73">
        <f t="shared" si="663"/>
        <v>0.11134307585247043</v>
      </c>
      <c r="EF46" s="73">
        <f t="shared" si="664"/>
        <v>1.4096419509444602E-3</v>
      </c>
      <c r="EG46" s="73">
        <f t="shared" si="665"/>
        <v>0.32754342431761785</v>
      </c>
      <c r="EH46" s="73">
        <f t="shared" si="666"/>
        <v>0.19793152639087019</v>
      </c>
      <c r="EI46" s="73">
        <f t="shared" si="667"/>
        <v>3.7108744756373026E-2</v>
      </c>
      <c r="EJ46" s="73">
        <f t="shared" si="668"/>
        <v>0</v>
      </c>
      <c r="EK46" s="73">
        <f t="shared" si="669"/>
        <v>6.5793802223830508E-5</v>
      </c>
      <c r="EL46" s="73">
        <f t="shared" si="670"/>
        <v>0</v>
      </c>
      <c r="EM46" s="73">
        <f t="shared" si="671"/>
        <v>1.6498667851074675</v>
      </c>
      <c r="EN46" s="73">
        <f t="shared" si="672"/>
        <v>0.48928616417143772</v>
      </c>
      <c r="EO46" s="73">
        <f t="shared" si="673"/>
        <v>6.8272664204167529E-3</v>
      </c>
      <c r="EP46" s="73">
        <f t="shared" si="674"/>
        <v>9.4518847621743243E-2</v>
      </c>
      <c r="EQ46" s="73">
        <f t="shared" si="675"/>
        <v>6.7486100609763996E-2</v>
      </c>
      <c r="ER46" s="73">
        <f t="shared" si="676"/>
        <v>8.5439743600428943E-4</v>
      </c>
      <c r="ES46" s="73">
        <f t="shared" si="677"/>
        <v>0.19852719460394655</v>
      </c>
      <c r="ET46" s="73">
        <f t="shared" si="678"/>
        <v>0.11996818663027846</v>
      </c>
      <c r="EU46" s="73">
        <f t="shared" si="679"/>
        <v>2.2491964255135829E-2</v>
      </c>
      <c r="EV46" s="73">
        <f t="shared" si="680"/>
        <v>0</v>
      </c>
      <c r="EW46" s="73">
        <f t="shared" si="681"/>
        <v>3.9878251273205002E-5</v>
      </c>
      <c r="EX46" s="73">
        <f t="shared" si="682"/>
        <v>0</v>
      </c>
      <c r="EY46" s="73">
        <f t="shared" si="683"/>
        <v>0.99999999999999989</v>
      </c>
      <c r="EZ46" s="73">
        <f t="shared" si="684"/>
        <v>0.16922929005289758</v>
      </c>
      <c r="FA46" s="73">
        <f t="shared" si="685"/>
        <v>0.61335723784991159</v>
      </c>
      <c r="FB46" s="73">
        <f t="shared" si="686"/>
        <v>1.5086431593758303</v>
      </c>
      <c r="FC46" s="73">
        <f t="shared" si="687"/>
        <v>0.56385736735201419</v>
      </c>
      <c r="FD46" s="73">
        <f t="shared" si="688"/>
        <v>0.9192968347917172</v>
      </c>
      <c r="FE46" s="73">
        <f t="shared" ca="1" si="689"/>
        <v>0.12127945131147085</v>
      </c>
      <c r="FF46" s="73">
        <f t="shared" ca="1" si="690"/>
        <v>6.5869531302103273E-3</v>
      </c>
      <c r="FG46" s="73">
        <f t="shared" ca="1" si="691"/>
        <v>5.431219434934334E-2</v>
      </c>
      <c r="FH46" s="73">
        <f t="shared" ca="1" si="692"/>
        <v>0.27357558977093238</v>
      </c>
      <c r="FI46" s="73">
        <f t="shared" ca="1" si="693"/>
        <v>9.3582752130385569E-2</v>
      </c>
      <c r="FJ46" s="73">
        <f t="shared" ca="1" si="694"/>
        <v>0.34207274197505472</v>
      </c>
      <c r="FK46" s="73">
        <f t="shared" ca="1" si="695"/>
        <v>9.3582752130385582E-2</v>
      </c>
      <c r="FL46" s="73">
        <f t="shared" ca="1" si="696"/>
        <v>9.3582752130385555E-2</v>
      </c>
      <c r="FM46" s="73"/>
      <c r="FN46" s="73"/>
      <c r="FO46" s="73"/>
      <c r="FP46" s="73">
        <f t="shared" ca="1" si="697"/>
        <v>1.8288510824661801</v>
      </c>
      <c r="FQ46" s="73">
        <f t="shared" ca="1" si="698"/>
        <v>0.17114891753381989</v>
      </c>
      <c r="FR46" s="73">
        <f t="shared" si="479"/>
        <v>0.33333333333333331</v>
      </c>
      <c r="FS46" s="73">
        <f t="shared" ca="1" si="699"/>
        <v>5.7049639177939961E-2</v>
      </c>
      <c r="FT46" s="73">
        <f t="shared" ca="1" si="700"/>
        <v>0.6096170274887267</v>
      </c>
      <c r="FU46" s="73">
        <f t="shared" si="701"/>
        <v>20.026666666666664</v>
      </c>
      <c r="FV46" s="73">
        <f t="shared" ca="1" si="702"/>
        <v>4.0990165749349856</v>
      </c>
      <c r="FW46" s="73">
        <f t="shared" ca="1" si="703"/>
        <v>24.567566207795686</v>
      </c>
      <c r="FX46" s="73">
        <f t="shared" ca="1" si="704"/>
        <v>48.693249449397335</v>
      </c>
      <c r="FY46" s="73">
        <f t="shared" ca="1" si="705"/>
        <v>41.128219810999958</v>
      </c>
      <c r="FZ46" s="73">
        <f t="shared" ca="1" si="706"/>
        <v>8.4180386835648289</v>
      </c>
      <c r="GA46" s="73">
        <f t="shared" ca="1" si="707"/>
        <v>50.453741505435211</v>
      </c>
      <c r="GB46" s="73">
        <f t="shared" ca="1" si="708"/>
        <v>91.442554123309009</v>
      </c>
      <c r="GC46" s="73">
        <f t="shared" ca="1" si="709"/>
        <v>1592876496.8818331</v>
      </c>
      <c r="GD46" s="2">
        <f t="shared" si="152"/>
        <v>38</v>
      </c>
      <c r="GE46">
        <f t="shared" ca="1" si="710"/>
        <v>1319.3096483884938</v>
      </c>
      <c r="GF46">
        <f t="shared" ca="1" si="711"/>
        <v>1318.7431341884337</v>
      </c>
      <c r="GG46">
        <f t="shared" ca="1" si="712"/>
        <v>1744.1499261387739</v>
      </c>
      <c r="GH46" s="2">
        <f t="shared" ca="1" si="713"/>
        <v>0.17731554102798538</v>
      </c>
      <c r="GI46" s="2">
        <f t="shared" ca="1" si="714"/>
        <v>1.7139512979416862</v>
      </c>
      <c r="GJ46" s="2">
        <f t="shared" ca="1" si="715"/>
        <v>-2.5628746437835916</v>
      </c>
      <c r="GK46" s="2">
        <f t="shared" ca="1" si="716"/>
        <v>1.8563304693450231</v>
      </c>
      <c r="GL46" s="2">
        <f t="shared" ca="1" si="717"/>
        <v>-0.17731554102798538</v>
      </c>
      <c r="GM46">
        <f t="shared" ca="1" si="718"/>
        <v>0.46020445283607675</v>
      </c>
      <c r="GN46">
        <f t="shared" ca="1" si="719"/>
        <v>9.7465844354215653E-2</v>
      </c>
      <c r="GO46">
        <f t="shared" ca="1" si="720"/>
        <v>-0.21245355616428618</v>
      </c>
      <c r="GP46">
        <f t="shared" ca="1" si="721"/>
        <v>-4.7759691487084296E-2</v>
      </c>
      <c r="GQ46">
        <f t="shared" ca="1" si="722"/>
        <v>0.30776691367646175</v>
      </c>
      <c r="GR46">
        <f t="shared" ca="1" si="723"/>
        <v>0.21178813841015279</v>
      </c>
      <c r="GS46">
        <f t="shared" ca="1" si="724"/>
        <v>-6.7228020322986234E-2</v>
      </c>
      <c r="GT46">
        <f t="shared" ca="1" si="725"/>
        <v>8.841493082942729E-4</v>
      </c>
      <c r="GU46">
        <f t="shared" ca="1" si="726"/>
        <v>0.18451760399828504</v>
      </c>
      <c r="GV46">
        <f t="shared" ca="1" si="727"/>
        <v>-0.52016053312290489</v>
      </c>
      <c r="GW46">
        <f t="shared" ca="1" si="728"/>
        <v>0.1245615237114569</v>
      </c>
      <c r="GY46" s="15">
        <f t="shared" si="729"/>
        <v>0.11972403344928363</v>
      </c>
      <c r="GZ46" s="2">
        <f t="shared" si="730"/>
        <v>0.1013859922934332</v>
      </c>
      <c r="HA46" s="2">
        <f t="shared" si="731"/>
        <v>6.1144782199246919E-2</v>
      </c>
      <c r="HB46" s="2">
        <f t="shared" si="732"/>
        <v>0.28225480794196373</v>
      </c>
      <c r="HC46" s="2">
        <f t="shared" si="733"/>
        <v>0.42417004097198896</v>
      </c>
      <c r="HD46" s="2">
        <f t="shared" si="734"/>
        <v>0.35920023128279127</v>
      </c>
      <c r="HE46" s="2">
        <f t="shared" si="735"/>
        <v>0.21662972774521985</v>
      </c>
      <c r="HF46" s="2">
        <f t="shared" si="736"/>
        <v>-1.3173200763928266</v>
      </c>
      <c r="HG46" s="2">
        <f t="shared" si="737"/>
        <v>-1.3158253016899335</v>
      </c>
      <c r="HH46" s="2">
        <f t="shared" si="738"/>
        <v>-1.31657268904138</v>
      </c>
      <c r="HI46" s="2">
        <f t="shared" si="739"/>
        <v>2.4789781773458355</v>
      </c>
      <c r="HJ46" s="2">
        <f t="shared" si="740"/>
        <v>0.17528971020161094</v>
      </c>
      <c r="HK46" s="2">
        <f t="shared" si="741"/>
        <v>0.32744428374655643</v>
      </c>
      <c r="HL46" s="2">
        <f t="shared" si="742"/>
        <v>1.0024999999999999</v>
      </c>
    </row>
    <row r="47" spans="1:220" ht="20.25">
      <c r="A47" s="150" t="s">
        <v>317</v>
      </c>
      <c r="B47" s="77">
        <v>3500</v>
      </c>
      <c r="C47" s="95">
        <f t="shared" ca="1" si="554"/>
        <v>-2.5807893457559148</v>
      </c>
      <c r="D47" s="70">
        <f t="shared" ca="1" si="555"/>
        <v>-2.1442540772957219</v>
      </c>
      <c r="E47" s="71">
        <f t="shared" ca="1" si="556"/>
        <v>-2.5807893457559086</v>
      </c>
      <c r="F47" s="177">
        <v>41.505919359764725</v>
      </c>
      <c r="G47" s="177">
        <v>2.7275844247700545</v>
      </c>
      <c r="H47" s="177">
        <v>9.51804309255993</v>
      </c>
      <c r="I47" s="177">
        <v>11.801970145207969</v>
      </c>
      <c r="J47" s="177">
        <v>0.17159745589190958</v>
      </c>
      <c r="K47" s="177">
        <v>19.5</v>
      </c>
      <c r="L47" s="177">
        <v>11.228153425851044</v>
      </c>
      <c r="M47" s="177">
        <v>2.084422702619289</v>
      </c>
      <c r="N47" s="177">
        <v>0.84414936529695073</v>
      </c>
      <c r="O47" s="328">
        <v>0.01</v>
      </c>
      <c r="P47" s="177">
        <v>0.6</v>
      </c>
      <c r="Q47" s="84"/>
      <c r="R47" s="72">
        <f t="shared" si="557"/>
        <v>99.991839971961895</v>
      </c>
      <c r="S47" s="106">
        <f t="shared" ca="1" si="558"/>
        <v>4.1556456278284246</v>
      </c>
      <c r="T47" s="104">
        <f t="shared" ca="1" si="559"/>
        <v>0.34389668145045565</v>
      </c>
      <c r="U47" s="107">
        <f t="shared" ca="1" si="560"/>
        <v>1706.4638607812465</v>
      </c>
      <c r="V47" s="107">
        <f t="shared" ca="1" si="561"/>
        <v>1630.6962609837256</v>
      </c>
      <c r="W47" s="105">
        <f t="shared" ca="1" si="562"/>
        <v>1637.4530541905071</v>
      </c>
      <c r="X47" s="102">
        <f t="shared" ca="1" si="563"/>
        <v>1651.2455240736215</v>
      </c>
      <c r="Y47" s="102">
        <f t="shared" ca="1" si="564"/>
        <v>1575.4261741336074</v>
      </c>
      <c r="Z47" s="103">
        <f t="shared" ca="1" si="565"/>
        <v>1623.6398577623477</v>
      </c>
      <c r="AA47" s="103">
        <f t="shared" ca="1" si="566"/>
        <v>1618.1006620687037</v>
      </c>
      <c r="AB47" s="103">
        <f t="shared" ca="1" si="567"/>
        <v>38.771342639598423</v>
      </c>
      <c r="AC47" s="4">
        <v>13.3</v>
      </c>
      <c r="AD47" s="273">
        <f t="shared" ca="1" si="568"/>
        <v>12.704821517838477</v>
      </c>
      <c r="AE47" s="3">
        <f t="shared" ca="1" si="569"/>
        <v>120.50086012669028</v>
      </c>
      <c r="AF47" s="3">
        <f t="shared" ca="1" si="570"/>
        <v>214.32309086494661</v>
      </c>
      <c r="AG47" s="2">
        <f t="shared" ca="1" si="571"/>
        <v>562.23927921337508</v>
      </c>
      <c r="AH47" s="2">
        <f t="shared" ca="1" si="572"/>
        <v>40.20113707792467</v>
      </c>
      <c r="AI47" s="87">
        <f t="shared" si="573"/>
        <v>0.48606150815017901</v>
      </c>
      <c r="AJ47" s="87">
        <f t="shared" ca="1" si="574"/>
        <v>4.1556456278284131</v>
      </c>
      <c r="AK47" s="87">
        <f t="shared" ca="1" si="575"/>
        <v>0.28129954086421383</v>
      </c>
      <c r="AL47" s="86">
        <f t="shared" ca="1" si="576"/>
        <v>0.2447380354877553</v>
      </c>
      <c r="AM47" s="87">
        <f t="shared" ca="1" si="577"/>
        <v>0.34389668145045577</v>
      </c>
      <c r="AN47" s="87">
        <f t="shared" ca="1" si="578"/>
        <v>0.34389668145045521</v>
      </c>
      <c r="AO47" s="96">
        <f t="shared" ca="1" si="579"/>
        <v>41.286348819021157</v>
      </c>
      <c r="AP47" s="96">
        <f t="shared" ca="1" si="580"/>
        <v>7.574817727903441</v>
      </c>
      <c r="AQ47" s="96">
        <f t="shared" ca="1" si="581"/>
        <v>51.138833453075407</v>
      </c>
      <c r="AR47" s="73"/>
      <c r="AS47" s="53">
        <f t="shared" ca="1" si="138"/>
        <v>80.542149058662844</v>
      </c>
      <c r="AT47" s="68">
        <f t="shared" ca="1" si="582"/>
        <v>92.329231692098986</v>
      </c>
      <c r="AU47" s="74">
        <f t="shared" ca="1" si="583"/>
        <v>0.34389668145045521</v>
      </c>
      <c r="AV47" s="68">
        <f t="shared" si="584"/>
        <v>2.3086577087652538</v>
      </c>
      <c r="AW47" s="68">
        <f t="shared" ca="1" si="585"/>
        <v>2.3612790526190608</v>
      </c>
      <c r="AX47" s="69">
        <f t="shared" ca="1" si="586"/>
        <v>1707.3595610898196</v>
      </c>
      <c r="AY47" s="69">
        <f t="shared" ca="1" si="587"/>
        <v>1706.4638607812465</v>
      </c>
      <c r="AZ47" s="69">
        <f t="shared" ca="1" si="588"/>
        <v>1630.6962609837256</v>
      </c>
      <c r="BA47" s="75"/>
      <c r="BB47" s="74">
        <f t="shared" ca="1" si="589"/>
        <v>7.1501829495388816E-2</v>
      </c>
      <c r="BC47" s="74">
        <f t="shared" ca="1" si="590"/>
        <v>2.5503435642185549E-2</v>
      </c>
      <c r="BD47" s="68">
        <f t="shared" si="591"/>
        <v>0</v>
      </c>
      <c r="BE47" s="68">
        <f t="shared" ca="1" si="592"/>
        <v>0.11244156894559054</v>
      </c>
      <c r="BF47" s="68">
        <f t="shared" ca="1" si="593"/>
        <v>9.719148466265258E-2</v>
      </c>
      <c r="BH47" s="68">
        <f t="shared" ca="1" si="594"/>
        <v>0</v>
      </c>
      <c r="BI47" s="68">
        <f t="shared" ca="1" si="595"/>
        <v>7.6374264373305648E-2</v>
      </c>
      <c r="BK47" s="53">
        <f t="shared" ca="1" si="596"/>
        <v>0.59017840054781145</v>
      </c>
      <c r="BL47" s="53">
        <f t="shared" si="597"/>
        <v>2.3723296690453047E-2</v>
      </c>
      <c r="BM47" s="53">
        <f t="shared" si="598"/>
        <v>2.3570034255982048E-2</v>
      </c>
      <c r="BN47" s="53">
        <f t="shared" si="599"/>
        <v>0.22027726982438217</v>
      </c>
      <c r="BO47" s="53" t="e">
        <f t="shared" si="600"/>
        <v>#NUM!</v>
      </c>
      <c r="BP47" s="53">
        <f t="shared" si="601"/>
        <v>1.3320449659572904</v>
      </c>
      <c r="BQ47" s="54">
        <f t="shared" si="602"/>
        <v>1434.96</v>
      </c>
      <c r="BR47" s="262">
        <f t="shared" si="603"/>
        <v>4.5284715569018452</v>
      </c>
      <c r="BS47" s="54">
        <f t="shared" si="604"/>
        <v>1639.7502512885421</v>
      </c>
      <c r="BT47" s="67"/>
      <c r="BU47" s="73">
        <f t="shared" si="605"/>
        <v>0.69084419706665656</v>
      </c>
      <c r="BV47" s="73">
        <f t="shared" si="606"/>
        <v>3.4137477156070767E-2</v>
      </c>
      <c r="BW47" s="73">
        <f t="shared" si="607"/>
        <v>0.18670151221184642</v>
      </c>
      <c r="BX47" s="73">
        <f t="shared" si="608"/>
        <v>0.1642584571358103</v>
      </c>
      <c r="BY47" s="73">
        <f t="shared" si="609"/>
        <v>2.4189097250057736E-3</v>
      </c>
      <c r="BZ47" s="73">
        <f t="shared" si="610"/>
        <v>0.4838709677419355</v>
      </c>
      <c r="CA47" s="73">
        <f t="shared" si="611"/>
        <v>0.20021671586752932</v>
      </c>
      <c r="CB47" s="73">
        <f t="shared" si="612"/>
        <v>6.7261139161642114E-2</v>
      </c>
      <c r="CC47" s="73">
        <f t="shared" si="613"/>
        <v>1.7922491832207021E-2</v>
      </c>
      <c r="CD47" s="73">
        <f t="shared" si="614"/>
        <v>1.3158760444766102E-4</v>
      </c>
      <c r="CE47" s="73">
        <f t="shared" si="615"/>
        <v>8.4542764548400737E-3</v>
      </c>
      <c r="CF47" s="73">
        <f t="shared" si="616"/>
        <v>1.8562177319579911</v>
      </c>
      <c r="CG47" s="73">
        <f t="shared" si="617"/>
        <v>0.3721784277633931</v>
      </c>
      <c r="CH47" s="73">
        <f t="shared" si="618"/>
        <v>1.8390879781145925E-2</v>
      </c>
      <c r="CI47" s="73">
        <f t="shared" si="619"/>
        <v>0.10058168769614563</v>
      </c>
      <c r="CJ47" s="73">
        <f t="shared" si="620"/>
        <v>8.8490942796104977E-2</v>
      </c>
      <c r="CK47" s="73">
        <f t="shared" si="621"/>
        <v>1.303139003232255E-3</v>
      </c>
      <c r="CL47" s="73">
        <f t="shared" si="622"/>
        <v>0.2606757598590197</v>
      </c>
      <c r="CM47" s="73">
        <f t="shared" si="623"/>
        <v>0.10786273206017434</v>
      </c>
      <c r="CN47" s="73">
        <f t="shared" si="624"/>
        <v>3.6235587023884935E-2</v>
      </c>
      <c r="CO47" s="73">
        <f t="shared" si="625"/>
        <v>9.6553822989837879E-3</v>
      </c>
      <c r="CP47" s="73">
        <f t="shared" si="626"/>
        <v>7.0890177473339119E-5</v>
      </c>
      <c r="CQ47" s="73">
        <f t="shared" si="627"/>
        <v>4.5545715404422217E-3</v>
      </c>
      <c r="CR47" s="73"/>
      <c r="CS47" s="73">
        <f t="shared" ca="1" si="628"/>
        <v>0.68718956090248262</v>
      </c>
      <c r="CT47" s="73">
        <f t="shared" ca="1" si="629"/>
        <v>0.10542543810582382</v>
      </c>
      <c r="CU47" s="73">
        <f t="shared" ca="1" si="630"/>
        <v>1.2689536836991417</v>
      </c>
      <c r="CV47" s="73">
        <f t="shared" ca="1" si="631"/>
        <v>2.0615686827074482</v>
      </c>
      <c r="CW47" s="73">
        <f t="shared" ca="1" si="632"/>
        <v>0.33333333333333326</v>
      </c>
      <c r="CX47" s="73">
        <f t="shared" ca="1" si="633"/>
        <v>5.1138455386006886E-2</v>
      </c>
      <c r="CY47" s="73">
        <f t="shared" ca="1" si="634"/>
        <v>0.61552821128065982</v>
      </c>
      <c r="CZ47" s="73">
        <f t="shared" si="635"/>
        <v>0.45833257371853126</v>
      </c>
      <c r="DA47" s="73">
        <f t="shared" si="636"/>
        <v>0.3721784277633931</v>
      </c>
      <c r="DB47" s="73">
        <f t="shared" si="637"/>
        <v>-0.50095931612648348</v>
      </c>
      <c r="DC47" s="73"/>
      <c r="DD47" s="73">
        <f t="shared" ca="1" si="638"/>
        <v>1707.3595610898196</v>
      </c>
      <c r="DE47" s="73">
        <f t="shared" ca="1" si="639"/>
        <v>15657.088007598239</v>
      </c>
      <c r="DF47" s="73">
        <f t="shared" si="640"/>
        <v>7.9055856710848573</v>
      </c>
      <c r="DG47" s="73">
        <f t="shared" si="641"/>
        <v>1720.6702157103337</v>
      </c>
      <c r="DH47" s="73">
        <f t="shared" si="642"/>
        <v>1447.5202157103336</v>
      </c>
      <c r="DI47" s="73">
        <f t="shared" si="449"/>
        <v>13602.905801982104</v>
      </c>
      <c r="DJ47" s="73">
        <f t="shared" si="643"/>
        <v>7.9055856710848573</v>
      </c>
      <c r="DK47" s="73">
        <f t="shared" si="644"/>
        <v>1720.6702157103337</v>
      </c>
      <c r="DL47" s="73">
        <f t="shared" ca="1" si="645"/>
        <v>4.1556456278284246</v>
      </c>
      <c r="DM47" s="73">
        <f t="shared" si="646"/>
        <v>-0.50095931612648348</v>
      </c>
      <c r="DN47" s="73">
        <f t="shared" si="647"/>
        <v>0.45833257371853126</v>
      </c>
      <c r="DO47" s="73">
        <f t="shared" si="648"/>
        <v>0.3721784277633931</v>
      </c>
      <c r="DP47" s="73">
        <f t="shared" si="649"/>
        <v>2.3086577087652538</v>
      </c>
      <c r="DQ47" s="73">
        <f t="shared" ca="1" si="650"/>
        <v>15657.135633835585</v>
      </c>
      <c r="DR47" s="73">
        <f t="shared" si="651"/>
        <v>7.9053624439127219</v>
      </c>
      <c r="DS47" s="73">
        <f t="shared" ca="1" si="652"/>
        <v>1707.4215101515524</v>
      </c>
      <c r="DT47" s="73">
        <f t="shared" si="653"/>
        <v>1447.5869714559512</v>
      </c>
      <c r="DU47" s="73">
        <f t="shared" ca="1" si="654"/>
        <v>1637.4530541905071</v>
      </c>
      <c r="DV47" s="76">
        <f t="shared" ca="1" si="655"/>
        <v>2.3612790526190608</v>
      </c>
      <c r="DW47" s="73">
        <f t="shared" ca="1" si="656"/>
        <v>2.8674069823988755</v>
      </c>
      <c r="DX47" s="73">
        <f t="shared" ca="1" si="657"/>
        <v>4658.934517637068</v>
      </c>
      <c r="DY47" s="73">
        <f t="shared" ca="1" si="658"/>
        <v>1624.7901139375056</v>
      </c>
      <c r="DZ47" s="73">
        <f t="shared" ca="1" si="659"/>
        <v>3.8705413897937677</v>
      </c>
      <c r="EA47" s="73"/>
      <c r="EB47" s="73">
        <f t="shared" si="660"/>
        <v>0.69084419706665656</v>
      </c>
      <c r="EC47" s="73">
        <f t="shared" si="661"/>
        <v>3.4137477156070767E-2</v>
      </c>
      <c r="ED47" s="73">
        <f t="shared" si="662"/>
        <v>9.3350756105923208E-2</v>
      </c>
      <c r="EE47" s="73">
        <f t="shared" si="663"/>
        <v>0.1642584571358103</v>
      </c>
      <c r="EF47" s="73">
        <f t="shared" si="664"/>
        <v>2.4189097250057736E-3</v>
      </c>
      <c r="EG47" s="73">
        <f t="shared" si="665"/>
        <v>0.4838709677419355</v>
      </c>
      <c r="EH47" s="73">
        <f t="shared" si="666"/>
        <v>0.20021671586752932</v>
      </c>
      <c r="EI47" s="73">
        <f t="shared" si="667"/>
        <v>3.3630569580821057E-2</v>
      </c>
      <c r="EJ47" s="73">
        <f t="shared" si="668"/>
        <v>8.9612459161035104E-3</v>
      </c>
      <c r="EK47" s="73">
        <f t="shared" si="669"/>
        <v>6.5793802223830508E-5</v>
      </c>
      <c r="EL47" s="73">
        <f t="shared" si="670"/>
        <v>4.2271382274200369E-3</v>
      </c>
      <c r="EM47" s="73">
        <f t="shared" si="671"/>
        <v>1.7159822283255</v>
      </c>
      <c r="EN47" s="73">
        <f t="shared" si="672"/>
        <v>0.40259402787685061</v>
      </c>
      <c r="EO47" s="73">
        <f t="shared" si="673"/>
        <v>1.9893840735974874E-2</v>
      </c>
      <c r="EP47" s="73">
        <f t="shared" si="674"/>
        <v>5.4400770919997989E-2</v>
      </c>
      <c r="EQ47" s="73">
        <f t="shared" si="675"/>
        <v>9.5722702965343631E-2</v>
      </c>
      <c r="ER47" s="73">
        <f t="shared" si="676"/>
        <v>1.4096356506944764E-3</v>
      </c>
      <c r="ES47" s="73">
        <f t="shared" si="677"/>
        <v>0.28197900873024156</v>
      </c>
      <c r="ET47" s="73">
        <f t="shared" si="678"/>
        <v>0.11667761621453737</v>
      </c>
      <c r="EU47" s="73">
        <f t="shared" si="679"/>
        <v>1.9598436991762228E-2</v>
      </c>
      <c r="EV47" s="73">
        <f t="shared" si="680"/>
        <v>5.2222253635156391E-3</v>
      </c>
      <c r="EW47" s="73">
        <f t="shared" si="681"/>
        <v>3.8341773672116529E-5</v>
      </c>
      <c r="EX47" s="73">
        <f t="shared" si="682"/>
        <v>2.4633927774094654E-3</v>
      </c>
      <c r="EY47" s="73">
        <f t="shared" si="683"/>
        <v>1</v>
      </c>
      <c r="EZ47" s="73">
        <f t="shared" si="684"/>
        <v>0.10058168769614563</v>
      </c>
      <c r="FA47" s="73">
        <f t="shared" si="685"/>
        <v>0.49115099524068462</v>
      </c>
      <c r="FB47" s="73">
        <f t="shared" si="686"/>
        <v>1.4247819691305779</v>
      </c>
      <c r="FC47" s="73">
        <f t="shared" si="687"/>
        <v>0.88495995729841725</v>
      </c>
      <c r="FD47" s="73">
        <f t="shared" si="688"/>
        <v>1.8018083356723114</v>
      </c>
      <c r="FE47" s="73">
        <f t="shared" ca="1" si="689"/>
        <v>0.20258119210011594</v>
      </c>
      <c r="FF47" s="73">
        <f t="shared" ca="1" si="690"/>
        <v>1.3800269275498454E-2</v>
      </c>
      <c r="FG47" s="73">
        <f t="shared" ca="1" si="691"/>
        <v>6.8122164414346723E-2</v>
      </c>
      <c r="FH47" s="73">
        <f t="shared" ca="1" si="692"/>
        <v>0.24158594187951263</v>
      </c>
      <c r="FI47" s="73">
        <f t="shared" ca="1" si="693"/>
        <v>8.3080603697446936E-2</v>
      </c>
      <c r="FJ47" s="73">
        <f t="shared" ca="1" si="694"/>
        <v>0.34389668145045521</v>
      </c>
      <c r="FK47" s="73">
        <f t="shared" ca="1" si="695"/>
        <v>8.3080603697446936E-2</v>
      </c>
      <c r="FL47" s="73">
        <f t="shared" ca="1" si="696"/>
        <v>8.3080603697447075E-2</v>
      </c>
      <c r="FM47" s="73"/>
      <c r="FN47" s="73"/>
      <c r="FO47" s="73"/>
      <c r="FP47" s="73">
        <f t="shared" ca="1" si="697"/>
        <v>1.8465846338419794</v>
      </c>
      <c r="FQ47" s="73">
        <f t="shared" ca="1" si="698"/>
        <v>0.15341536615802065</v>
      </c>
      <c r="FR47" s="73">
        <f t="shared" si="479"/>
        <v>0.33333333333333331</v>
      </c>
      <c r="FS47" s="73">
        <f t="shared" ca="1" si="699"/>
        <v>5.1138455386006886E-2</v>
      </c>
      <c r="FT47" s="73">
        <f t="shared" ca="1" si="700"/>
        <v>0.61552821128065982</v>
      </c>
      <c r="FU47" s="73">
        <f t="shared" si="701"/>
        <v>20.026666666666664</v>
      </c>
      <c r="FV47" s="73">
        <f t="shared" ca="1" si="702"/>
        <v>3.6742980194845942</v>
      </c>
      <c r="FW47" s="73">
        <f t="shared" ca="1" si="703"/>
        <v>24.805786914610589</v>
      </c>
      <c r="FX47" s="73">
        <f t="shared" ca="1" si="704"/>
        <v>48.506751600761845</v>
      </c>
      <c r="FY47" s="73">
        <f t="shared" ca="1" si="705"/>
        <v>41.286348819021157</v>
      </c>
      <c r="FZ47" s="73">
        <f t="shared" ca="1" si="706"/>
        <v>7.574817727903441</v>
      </c>
      <c r="GA47" s="73">
        <f t="shared" ca="1" si="707"/>
        <v>51.138833453075407</v>
      </c>
      <c r="GB47" s="73">
        <f t="shared" ca="1" si="708"/>
        <v>92.329231692098972</v>
      </c>
      <c r="GC47" s="73">
        <f t="shared" ca="1" si="709"/>
        <v>4155645627.8284245</v>
      </c>
      <c r="GD47" s="2">
        <f t="shared" si="152"/>
        <v>38</v>
      </c>
      <c r="GE47">
        <f t="shared" ca="1" si="710"/>
        <v>1584.1691033839193</v>
      </c>
      <c r="GF47">
        <f t="shared" ca="1" si="711"/>
        <v>1584.1423343972049</v>
      </c>
      <c r="GG47">
        <f t="shared" ca="1" si="712"/>
        <v>1881.3940336903404</v>
      </c>
      <c r="GH47" s="2">
        <f t="shared" ca="1" si="713"/>
        <v>0.41150824932177732</v>
      </c>
      <c r="GI47" s="2">
        <f t="shared" ca="1" si="714"/>
        <v>0.93999502039581562</v>
      </c>
      <c r="GJ47" s="2">
        <f t="shared" ca="1" si="715"/>
        <v>-1.0969707008821414</v>
      </c>
      <c r="GK47" s="2">
        <f t="shared" ca="1" si="716"/>
        <v>1.1618200348584966</v>
      </c>
      <c r="GL47" s="2">
        <f t="shared" ca="1" si="717"/>
        <v>-0.41150824932177732</v>
      </c>
      <c r="GM47">
        <f t="shared" ca="1" si="718"/>
        <v>0.31472765946800202</v>
      </c>
      <c r="GN47">
        <f t="shared" ca="1" si="719"/>
        <v>3.117487610198845E-2</v>
      </c>
      <c r="GO47">
        <f t="shared" ca="1" si="720"/>
        <v>-0.12731852774288915</v>
      </c>
      <c r="GP47">
        <f t="shared" ca="1" si="721"/>
        <v>-0.17709638195897387</v>
      </c>
      <c r="GQ47">
        <f t="shared" ca="1" si="722"/>
        <v>0.2696903686149929</v>
      </c>
      <c r="GR47">
        <f t="shared" ca="1" si="723"/>
        <v>9.9053499634206649E-2</v>
      </c>
      <c r="GS47">
        <f t="shared" ca="1" si="724"/>
        <v>8.0952730318073166E-2</v>
      </c>
      <c r="GT47">
        <f t="shared" ca="1" si="725"/>
        <v>4.9684236560198942E-3</v>
      </c>
      <c r="GU47">
        <f t="shared" ca="1" si="726"/>
        <v>0.57316210150220803</v>
      </c>
      <c r="GV47">
        <f t="shared" ca="1" si="727"/>
        <v>-0.29771136042240393</v>
      </c>
      <c r="GW47">
        <f t="shared" ca="1" si="728"/>
        <v>0.59017840054780613</v>
      </c>
      <c r="GY47" s="15">
        <f t="shared" si="729"/>
        <v>0.19414464061133432</v>
      </c>
      <c r="GZ47" s="2">
        <f t="shared" si="730"/>
        <v>7.433295342964498E-2</v>
      </c>
      <c r="HA47" s="2">
        <f t="shared" si="731"/>
        <v>-4.7992937440217029E-2</v>
      </c>
      <c r="HB47" s="2">
        <f t="shared" si="732"/>
        <v>0.22048465660076227</v>
      </c>
      <c r="HC47" s="2">
        <f t="shared" si="733"/>
        <v>0.88053583230908195</v>
      </c>
      <c r="HD47" s="2">
        <f t="shared" si="734"/>
        <v>0.33713435925948232</v>
      </c>
      <c r="HE47" s="2">
        <f t="shared" si="735"/>
        <v>-0.21767019156856426</v>
      </c>
      <c r="HF47" s="2">
        <f t="shared" si="736"/>
        <v>-2.6721162896292587</v>
      </c>
      <c r="HG47" s="2">
        <f t="shared" si="737"/>
        <v>0.25381739531916908</v>
      </c>
      <c r="HH47" s="2">
        <f t="shared" si="738"/>
        <v>-1.2091494471550448</v>
      </c>
      <c r="HI47" s="2" t="e">
        <f t="shared" si="739"/>
        <v>#NUM!</v>
      </c>
      <c r="HJ47" s="2" t="e">
        <f t="shared" si="740"/>
        <v>#NUM!</v>
      </c>
      <c r="HK47" s="2">
        <f t="shared" si="741"/>
        <v>0.34353984220907291</v>
      </c>
      <c r="HL47" s="2">
        <f t="shared" si="742"/>
        <v>0.6795475586977664</v>
      </c>
    </row>
    <row r="48" spans="1:220" ht="20.25">
      <c r="A48" s="150" t="s">
        <v>318</v>
      </c>
      <c r="B48" s="77">
        <v>3500</v>
      </c>
      <c r="C48" s="95">
        <f t="shared" ca="1" si="554"/>
        <v>-3.4384216896461623</v>
      </c>
      <c r="D48" s="70">
        <f t="shared" ca="1" si="555"/>
        <v>-3.2581710826850023</v>
      </c>
      <c r="E48" s="71">
        <f t="shared" ca="1" si="556"/>
        <v>-3.4384216896461623</v>
      </c>
      <c r="F48" s="177">
        <v>45.11088330278583</v>
      </c>
      <c r="G48" s="177">
        <v>2.0520231927438566</v>
      </c>
      <c r="H48" s="177">
        <v>9.4636127137960173</v>
      </c>
      <c r="I48" s="177">
        <v>11.494556325726426</v>
      </c>
      <c r="J48" s="177">
        <v>0.13482358281722598</v>
      </c>
      <c r="K48" s="177">
        <v>18.88</v>
      </c>
      <c r="L48" s="177">
        <v>10.208067394977048</v>
      </c>
      <c r="M48" s="177">
        <v>1.7072924387182145</v>
      </c>
      <c r="N48" s="177">
        <v>0.68393981610673105</v>
      </c>
      <c r="O48" s="328">
        <v>0.01</v>
      </c>
      <c r="P48" s="177">
        <v>0.3</v>
      </c>
      <c r="Q48" s="84"/>
      <c r="R48" s="72">
        <f t="shared" si="557"/>
        <v>100.04519876767134</v>
      </c>
      <c r="S48" s="106">
        <f t="shared" ca="1" si="558"/>
        <v>3.0610236981689098</v>
      </c>
      <c r="T48" s="104">
        <f t="shared" ca="1" si="559"/>
        <v>0.34518976685648084</v>
      </c>
      <c r="U48" s="107">
        <f t="shared" ca="1" si="560"/>
        <v>1607.0854975054669</v>
      </c>
      <c r="V48" s="107">
        <f t="shared" ca="1" si="561"/>
        <v>1564.2155518736054</v>
      </c>
      <c r="W48" s="105">
        <f t="shared" ca="1" si="562"/>
        <v>1569.6711584291586</v>
      </c>
      <c r="X48" s="102">
        <f t="shared" ca="1" si="563"/>
        <v>1634.507831858886</v>
      </c>
      <c r="Y48" s="102">
        <f t="shared" ca="1" si="564"/>
        <v>1565.1896257939686</v>
      </c>
      <c r="Z48" s="103">
        <f t="shared" ca="1" si="565"/>
        <v>1609.4634041121858</v>
      </c>
      <c r="AA48" s="103">
        <f t="shared" ca="1" si="566"/>
        <v>1596.2287515712731</v>
      </c>
      <c r="AB48" s="103">
        <f t="shared" ca="1" si="567"/>
        <v>37.512977014762953</v>
      </c>
      <c r="AC48" s="4">
        <v>13.3</v>
      </c>
      <c r="AD48" s="273">
        <f t="shared" ca="1" si="568"/>
        <v>12.213908412870179</v>
      </c>
      <c r="AE48" s="3">
        <f t="shared" ca="1" si="569"/>
        <v>116.41982863298391</v>
      </c>
      <c r="AF48" s="3">
        <f t="shared" ca="1" si="570"/>
        <v>213.84859295049864</v>
      </c>
      <c r="AG48" s="2">
        <f t="shared" ca="1" si="571"/>
        <v>544.40306118793399</v>
      </c>
      <c r="AH48" s="2">
        <f t="shared" ca="1" si="572"/>
        <v>69.400262796727816</v>
      </c>
      <c r="AI48" s="87">
        <f t="shared" si="573"/>
        <v>0.42160805140474616</v>
      </c>
      <c r="AJ48" s="87">
        <f t="shared" ca="1" si="574"/>
        <v>3.0610236981689098</v>
      </c>
      <c r="AK48" s="87">
        <f t="shared" ca="1" si="575"/>
        <v>0.27953197955241615</v>
      </c>
      <c r="AL48" s="86">
        <f t="shared" ca="1" si="576"/>
        <v>0.26176313062852519</v>
      </c>
      <c r="AM48" s="87">
        <f t="shared" ca="1" si="577"/>
        <v>0.34518976685648084</v>
      </c>
      <c r="AN48" s="87">
        <f t="shared" ca="1" si="578"/>
        <v>0.34518976685648084</v>
      </c>
      <c r="AO48" s="96">
        <f t="shared" ca="1" si="579"/>
        <v>41.190875500694482</v>
      </c>
      <c r="AP48" s="96">
        <f t="shared" ca="1" si="580"/>
        <v>8.0839280026532112</v>
      </c>
      <c r="AQ48" s="96">
        <f t="shared" ca="1" si="581"/>
        <v>50.725196496652302</v>
      </c>
      <c r="AR48" s="73"/>
      <c r="AS48" s="53">
        <f t="shared" ca="1" si="138"/>
        <v>79.431153792461728</v>
      </c>
      <c r="AT48" s="68">
        <f t="shared" ca="1" si="582"/>
        <v>91.794698003124694</v>
      </c>
      <c r="AU48" s="74">
        <f t="shared" ca="1" si="583"/>
        <v>0.34518976685648084</v>
      </c>
      <c r="AV48" s="68">
        <f t="shared" si="584"/>
        <v>2.3739621414687995</v>
      </c>
      <c r="AW48" s="68">
        <f t="shared" ca="1" si="585"/>
        <v>2.4146572527190333</v>
      </c>
      <c r="AX48" s="69">
        <f t="shared" ca="1" si="586"/>
        <v>1611.7231159025032</v>
      </c>
      <c r="AY48" s="69">
        <f t="shared" ca="1" si="587"/>
        <v>1607.0854975054669</v>
      </c>
      <c r="AZ48" s="69">
        <f t="shared" ca="1" si="588"/>
        <v>1564.2155518736054</v>
      </c>
      <c r="BA48" s="75"/>
      <c r="BB48" s="74">
        <f t="shared" ca="1" si="589"/>
        <v>0.12747956017236661</v>
      </c>
      <c r="BC48" s="74">
        <f t="shared" ca="1" si="590"/>
        <v>1.1147488027575243E-2</v>
      </c>
      <c r="BD48" s="68">
        <f t="shared" si="591"/>
        <v>6.1820686795209412E-2</v>
      </c>
      <c r="BE48" s="68">
        <f t="shared" ca="1" si="592"/>
        <v>0.13385584603328016</v>
      </c>
      <c r="BF48" s="68">
        <f t="shared" ca="1" si="593"/>
        <v>0.16462093307270811</v>
      </c>
      <c r="BH48" s="68">
        <f t="shared" ca="1" si="594"/>
        <v>7.5986078507674651E-2</v>
      </c>
      <c r="BI48" s="68">
        <f t="shared" ca="1" si="595"/>
        <v>0.14962077478826877</v>
      </c>
      <c r="BK48" s="53">
        <f t="shared" ca="1" si="596"/>
        <v>0.46850638645384129</v>
      </c>
      <c r="BL48" s="53">
        <f t="shared" si="597"/>
        <v>1.8033707127801009E-2</v>
      </c>
      <c r="BM48" s="53">
        <f t="shared" si="598"/>
        <v>1.7232352610380978E-2</v>
      </c>
      <c r="BN48" s="53">
        <f t="shared" si="599"/>
        <v>0.29187806105371461</v>
      </c>
      <c r="BO48" s="53">
        <f t="shared" si="600"/>
        <v>0.12019901122254051</v>
      </c>
      <c r="BP48" s="53">
        <f t="shared" si="601"/>
        <v>8.1927756719606171E-2</v>
      </c>
      <c r="BQ48" s="54">
        <f t="shared" si="602"/>
        <v>1423.6392960000001</v>
      </c>
      <c r="BR48" s="262">
        <f t="shared" si="603"/>
        <v>4.196229384356406</v>
      </c>
      <c r="BS48" s="54">
        <f t="shared" si="604"/>
        <v>1616.4688610219846</v>
      </c>
      <c r="BT48" s="67"/>
      <c r="BU48" s="73">
        <f t="shared" si="605"/>
        <v>0.75084692581201451</v>
      </c>
      <c r="BV48" s="73">
        <f t="shared" si="606"/>
        <v>2.5682392900423734E-2</v>
      </c>
      <c r="BW48" s="73">
        <f t="shared" si="607"/>
        <v>0.18563383118470023</v>
      </c>
      <c r="BX48" s="73">
        <f t="shared" si="608"/>
        <v>0.15997990710823143</v>
      </c>
      <c r="BY48" s="73">
        <f t="shared" si="609"/>
        <v>1.9005297831579642E-3</v>
      </c>
      <c r="BZ48" s="73">
        <f t="shared" si="610"/>
        <v>0.46848635235732011</v>
      </c>
      <c r="CA48" s="73">
        <f t="shared" si="611"/>
        <v>0.18202687936834966</v>
      </c>
      <c r="CB48" s="73">
        <f t="shared" si="612"/>
        <v>5.5091721159025962E-2</v>
      </c>
      <c r="CC48" s="73">
        <f t="shared" si="613"/>
        <v>1.4521015203964566E-2</v>
      </c>
      <c r="CD48" s="73">
        <f t="shared" si="614"/>
        <v>1.3158760444766102E-4</v>
      </c>
      <c r="CE48" s="73">
        <f t="shared" si="615"/>
        <v>4.2271382274200369E-3</v>
      </c>
      <c r="CF48" s="73">
        <f t="shared" si="616"/>
        <v>1.8485282807090559</v>
      </c>
      <c r="CG48" s="73">
        <f t="shared" si="617"/>
        <v>0.40618633409492966</v>
      </c>
      <c r="CH48" s="73">
        <f t="shared" si="618"/>
        <v>1.3893427094646622E-2</v>
      </c>
      <c r="CI48" s="73">
        <f t="shared" si="619"/>
        <v>0.10042249995412299</v>
      </c>
      <c r="CJ48" s="73">
        <f t="shared" si="620"/>
        <v>8.654447366467477E-2</v>
      </c>
      <c r="CK48" s="73">
        <f t="shared" si="621"/>
        <v>1.0281312993647906E-3</v>
      </c>
      <c r="CL48" s="73">
        <f t="shared" si="622"/>
        <v>0.2534374817233625</v>
      </c>
      <c r="CM48" s="73">
        <f t="shared" si="623"/>
        <v>9.8471243998781585E-2</v>
      </c>
      <c r="CN48" s="73">
        <f t="shared" si="624"/>
        <v>2.9803017748743315E-2</v>
      </c>
      <c r="CO48" s="73">
        <f t="shared" si="625"/>
        <v>7.855446603389056E-3</v>
      </c>
      <c r="CP48" s="73">
        <f t="shared" si="626"/>
        <v>7.1185064259437144E-5</v>
      </c>
      <c r="CQ48" s="73">
        <f t="shared" si="627"/>
        <v>2.2867587537252049E-3</v>
      </c>
      <c r="CR48" s="73"/>
      <c r="CS48" s="73">
        <f t="shared" ca="1" si="628"/>
        <v>0.68560045773459521</v>
      </c>
      <c r="CT48" s="73">
        <f t="shared" ca="1" si="629"/>
        <v>0.11251117609816579</v>
      </c>
      <c r="CU48" s="73">
        <f t="shared" ca="1" si="630"/>
        <v>1.258689739371025</v>
      </c>
      <c r="CV48" s="73">
        <f t="shared" ca="1" si="631"/>
        <v>2.0568013732037862</v>
      </c>
      <c r="CW48" s="73">
        <f t="shared" ca="1" si="632"/>
        <v>0.33333333333333326</v>
      </c>
      <c r="CX48" s="73">
        <f t="shared" ca="1" si="633"/>
        <v>5.4702013312501942E-2</v>
      </c>
      <c r="CY48" s="73">
        <f t="shared" ca="1" si="634"/>
        <v>0.61196465335416472</v>
      </c>
      <c r="CZ48" s="73">
        <f t="shared" si="635"/>
        <v>0.43948133068618367</v>
      </c>
      <c r="DA48" s="73">
        <f t="shared" si="636"/>
        <v>0.40618633409492966</v>
      </c>
      <c r="DB48" s="73">
        <f t="shared" si="637"/>
        <v>-0.46834115472819321</v>
      </c>
      <c r="DC48" s="73"/>
      <c r="DD48" s="73">
        <f t="shared" ca="1" si="638"/>
        <v>1611.7231159025032</v>
      </c>
      <c r="DE48" s="73">
        <f t="shared" ca="1" si="639"/>
        <v>15115.99109971546</v>
      </c>
      <c r="DF48" s="73">
        <f t="shared" si="640"/>
        <v>8.0196332433112971</v>
      </c>
      <c r="DG48" s="73">
        <f t="shared" si="641"/>
        <v>1696.2004856428423</v>
      </c>
      <c r="DH48" s="73">
        <f t="shared" si="642"/>
        <v>1423.0504856428424</v>
      </c>
      <c r="DI48" s="73">
        <f t="shared" si="449"/>
        <v>13602.905801982104</v>
      </c>
      <c r="DJ48" s="73">
        <f t="shared" si="643"/>
        <v>8.0196332433112971</v>
      </c>
      <c r="DK48" s="73">
        <f t="shared" si="644"/>
        <v>1696.2004856428423</v>
      </c>
      <c r="DL48" s="73">
        <f t="shared" ca="1" si="645"/>
        <v>3.0610236981689098</v>
      </c>
      <c r="DM48" s="73">
        <f t="shared" si="646"/>
        <v>-0.46834115472819321</v>
      </c>
      <c r="DN48" s="73">
        <f t="shared" si="647"/>
        <v>0.43948133068618367</v>
      </c>
      <c r="DO48" s="73">
        <f t="shared" si="648"/>
        <v>0.40618633409492966</v>
      </c>
      <c r="DP48" s="73">
        <f t="shared" si="649"/>
        <v>2.3739621414687995</v>
      </c>
      <c r="DQ48" s="73">
        <f t="shared" ca="1" si="650"/>
        <v>15116.064014004887</v>
      </c>
      <c r="DR48" s="73">
        <f t="shared" si="651"/>
        <v>8.0194100161391617</v>
      </c>
      <c r="DS48" s="73">
        <f t="shared" ca="1" si="652"/>
        <v>1611.7846751922675</v>
      </c>
      <c r="DT48" s="73">
        <f t="shared" si="653"/>
        <v>1423.1156108895407</v>
      </c>
      <c r="DU48" s="73">
        <f t="shared" ca="1" si="654"/>
        <v>1569.6711584291586</v>
      </c>
      <c r="DV48" s="76">
        <f t="shared" ca="1" si="655"/>
        <v>2.4146572527190333</v>
      </c>
      <c r="DW48" s="73">
        <f t="shared" ca="1" si="656"/>
        <v>2.9172458228580833</v>
      </c>
      <c r="DX48" s="73">
        <f t="shared" ca="1" si="657"/>
        <v>4598.6317955321256</v>
      </c>
      <c r="DY48" s="73">
        <f t="shared" ca="1" si="658"/>
        <v>1576.3607439248144</v>
      </c>
      <c r="DZ48" s="73">
        <f t="shared" ca="1" si="659"/>
        <v>3.7887228732125124</v>
      </c>
      <c r="EA48" s="73"/>
      <c r="EB48" s="73">
        <f t="shared" si="660"/>
        <v>0.75084692581201451</v>
      </c>
      <c r="EC48" s="73">
        <f t="shared" si="661"/>
        <v>2.5682392900423734E-2</v>
      </c>
      <c r="ED48" s="73">
        <f t="shared" si="662"/>
        <v>9.2816915592350113E-2</v>
      </c>
      <c r="EE48" s="73">
        <f t="shared" si="663"/>
        <v>0.15997990710823143</v>
      </c>
      <c r="EF48" s="73">
        <f t="shared" si="664"/>
        <v>1.9005297831579642E-3</v>
      </c>
      <c r="EG48" s="73">
        <f t="shared" si="665"/>
        <v>0.46848635235732011</v>
      </c>
      <c r="EH48" s="73">
        <f t="shared" si="666"/>
        <v>0.18202687936834966</v>
      </c>
      <c r="EI48" s="73">
        <f t="shared" si="667"/>
        <v>2.7545860579512981E-2</v>
      </c>
      <c r="EJ48" s="73">
        <f t="shared" si="668"/>
        <v>7.2605076019822828E-3</v>
      </c>
      <c r="EK48" s="73">
        <f t="shared" si="669"/>
        <v>6.5793802223830508E-5</v>
      </c>
      <c r="EL48" s="73">
        <f t="shared" si="670"/>
        <v>2.1135691137100184E-3</v>
      </c>
      <c r="EM48" s="73">
        <f t="shared" si="671"/>
        <v>1.7187256340192769</v>
      </c>
      <c r="EN48" s="73">
        <f t="shared" si="672"/>
        <v>0.4368625864130174</v>
      </c>
      <c r="EO48" s="73">
        <f t="shared" si="673"/>
        <v>1.4942694978235069E-2</v>
      </c>
      <c r="EP48" s="73">
        <f t="shared" si="674"/>
        <v>5.4003334653999285E-2</v>
      </c>
      <c r="EQ48" s="73">
        <f t="shared" si="675"/>
        <v>9.308053824397497E-2</v>
      </c>
      <c r="ER48" s="73">
        <f t="shared" si="676"/>
        <v>1.1057784590746658E-3</v>
      </c>
      <c r="ES48" s="73">
        <f t="shared" si="677"/>
        <v>0.27257774195277151</v>
      </c>
      <c r="ET48" s="73">
        <f t="shared" si="678"/>
        <v>0.10590804940907053</v>
      </c>
      <c r="EU48" s="73">
        <f t="shared" si="679"/>
        <v>1.6026909725606636E-2</v>
      </c>
      <c r="EV48" s="73">
        <f t="shared" si="680"/>
        <v>4.2243552189324303E-3</v>
      </c>
      <c r="EW48" s="73">
        <f t="shared" si="681"/>
        <v>3.8280573072020976E-5</v>
      </c>
      <c r="EX48" s="73">
        <f t="shared" si="682"/>
        <v>1.2297303722452731E-3</v>
      </c>
      <c r="EY48" s="73">
        <f t="shared" si="683"/>
        <v>0.99999999999999967</v>
      </c>
      <c r="EZ48" s="73">
        <f t="shared" si="684"/>
        <v>0.10042249995412299</v>
      </c>
      <c r="FA48" s="73">
        <f t="shared" si="685"/>
        <v>0.52050226114369924</v>
      </c>
      <c r="FB48" s="73">
        <f t="shared" si="686"/>
        <v>1.4549275096532892</v>
      </c>
      <c r="FC48" s="73">
        <f t="shared" si="687"/>
        <v>0.82784597473178145</v>
      </c>
      <c r="FD48" s="73">
        <f t="shared" si="688"/>
        <v>1.590475270775493</v>
      </c>
      <c r="FE48" s="73">
        <f t="shared" ca="1" si="689"/>
        <v>0.15935520794627997</v>
      </c>
      <c r="FF48" s="73">
        <f t="shared" ca="1" si="690"/>
        <v>1.1248010441762359E-2</v>
      </c>
      <c r="FG48" s="73">
        <f t="shared" ca="1" si="691"/>
        <v>7.0584517360450252E-2</v>
      </c>
      <c r="FH48" s="73">
        <f t="shared" ca="1" si="692"/>
        <v>0.25895187499454803</v>
      </c>
      <c r="FI48" s="73">
        <f t="shared" ca="1" si="693"/>
        <v>8.9387537356416608E-2</v>
      </c>
      <c r="FJ48" s="73">
        <f t="shared" ca="1" si="694"/>
        <v>0.34518976685648084</v>
      </c>
      <c r="FK48" s="73">
        <f t="shared" ca="1" si="695"/>
        <v>8.9387537356416621E-2</v>
      </c>
      <c r="FL48" s="73">
        <f t="shared" ca="1" si="696"/>
        <v>8.9387537356416608E-2</v>
      </c>
      <c r="FM48" s="73"/>
      <c r="FN48" s="73"/>
      <c r="FO48" s="73"/>
      <c r="FP48" s="73">
        <f t="shared" ca="1" si="697"/>
        <v>1.8358939600624942</v>
      </c>
      <c r="FQ48" s="73">
        <f t="shared" ca="1" si="698"/>
        <v>0.16410603993750583</v>
      </c>
      <c r="FR48" s="73">
        <f t="shared" si="479"/>
        <v>0.33333333333333331</v>
      </c>
      <c r="FS48" s="73">
        <f t="shared" ca="1" si="699"/>
        <v>5.4702013312501942E-2</v>
      </c>
      <c r="FT48" s="73">
        <f t="shared" ca="1" si="700"/>
        <v>0.61196465335416472</v>
      </c>
      <c r="FU48" s="73">
        <f t="shared" si="701"/>
        <v>20.026666666666664</v>
      </c>
      <c r="FV48" s="73">
        <f t="shared" ca="1" si="702"/>
        <v>3.9303396565032642</v>
      </c>
      <c r="FW48" s="73">
        <f t="shared" ca="1" si="703"/>
        <v>24.662175530172835</v>
      </c>
      <c r="FX48" s="73">
        <f t="shared" ca="1" si="704"/>
        <v>48.619181853342766</v>
      </c>
      <c r="FY48" s="73">
        <f t="shared" ca="1" si="705"/>
        <v>41.190875500694482</v>
      </c>
      <c r="FZ48" s="73">
        <f t="shared" ca="1" si="706"/>
        <v>8.0839280026532112</v>
      </c>
      <c r="GA48" s="73">
        <f t="shared" ca="1" si="707"/>
        <v>50.725196496652302</v>
      </c>
      <c r="GB48" s="73">
        <f t="shared" ca="1" si="708"/>
        <v>91.794698003124694</v>
      </c>
      <c r="GC48" s="73">
        <f t="shared" ca="1" si="709"/>
        <v>3061023698.16891</v>
      </c>
      <c r="GD48" s="2">
        <f t="shared" si="152"/>
        <v>38</v>
      </c>
      <c r="GE48">
        <f t="shared" ca="1" si="710"/>
        <v>1479.3021628044967</v>
      </c>
      <c r="GF48">
        <f t="shared" ca="1" si="711"/>
        <v>1478.9862530104915</v>
      </c>
      <c r="GG48">
        <f t="shared" ca="1" si="712"/>
        <v>1827.9950468223783</v>
      </c>
      <c r="GH48" s="2">
        <f t="shared" ca="1" si="713"/>
        <v>0.36703729753015907</v>
      </c>
      <c r="GI48" s="2">
        <f t="shared" ca="1" si="714"/>
        <v>1.270570843152989</v>
      </c>
      <c r="GJ48" s="2">
        <f t="shared" ca="1" si="715"/>
        <v>-1.7230944446473839</v>
      </c>
      <c r="GK48" s="2">
        <f t="shared" ca="1" si="716"/>
        <v>1.4584625777962252</v>
      </c>
      <c r="GL48" s="2">
        <f t="shared" ca="1" si="717"/>
        <v>-0.36703729753015907</v>
      </c>
      <c r="GM48">
        <f t="shared" ca="1" si="718"/>
        <v>0.39381525698817821</v>
      </c>
      <c r="GN48">
        <f t="shared" ca="1" si="719"/>
        <v>6.1076988036782083E-2</v>
      </c>
      <c r="GO48">
        <f t="shared" ca="1" si="720"/>
        <v>-0.17154028863532889</v>
      </c>
      <c r="GP48">
        <f t="shared" ca="1" si="721"/>
        <v>-0.12583020747942739</v>
      </c>
      <c r="GQ48">
        <f t="shared" ca="1" si="722"/>
        <v>0.29039045693190485</v>
      </c>
      <c r="GR48">
        <f t="shared" ca="1" si="723"/>
        <v>0.15509045663666485</v>
      </c>
      <c r="GS48">
        <f t="shared" ca="1" si="724"/>
        <v>1.5366906880880576E-2</v>
      </c>
      <c r="GT48">
        <f t="shared" ca="1" si="725"/>
        <v>2.47681399321407E-3</v>
      </c>
      <c r="GU48">
        <f t="shared" ca="1" si="726"/>
        <v>0.40706801671601062</v>
      </c>
      <c r="GV48">
        <f t="shared" ca="1" si="727"/>
        <v>-0.33237688725034753</v>
      </c>
      <c r="GW48">
        <f t="shared" ca="1" si="728"/>
        <v>0.46850638645384129</v>
      </c>
      <c r="GY48" s="15">
        <f t="shared" si="729"/>
        <v>0.18452246549825754</v>
      </c>
      <c r="GZ48" s="2">
        <f t="shared" si="730"/>
        <v>6.8984310205306376E-2</v>
      </c>
      <c r="HA48" s="2">
        <f t="shared" si="731"/>
        <v>1.9516946181145439E-2</v>
      </c>
      <c r="HB48" s="2">
        <f t="shared" si="732"/>
        <v>0.27302372188470936</v>
      </c>
      <c r="HC48" s="2">
        <f t="shared" si="733"/>
        <v>0.67584774035194073</v>
      </c>
      <c r="HD48" s="2">
        <f t="shared" si="734"/>
        <v>0.25266782581784819</v>
      </c>
      <c r="HE48" s="2">
        <f t="shared" si="735"/>
        <v>7.1484433830211011E-2</v>
      </c>
      <c r="HF48" s="2">
        <f t="shared" si="736"/>
        <v>-1.2596085833350843</v>
      </c>
      <c r="HG48" s="2">
        <f t="shared" si="737"/>
        <v>-1.3320333471603012</v>
      </c>
      <c r="HH48" s="2">
        <f t="shared" si="738"/>
        <v>-1.2958209652476929</v>
      </c>
      <c r="HI48" s="2">
        <f t="shared" si="739"/>
        <v>1.4927823438491352</v>
      </c>
      <c r="HJ48" s="2">
        <f t="shared" si="740"/>
        <v>0.27515545919597778</v>
      </c>
      <c r="HK48" s="2">
        <f t="shared" si="741"/>
        <v>0.34239250439887964</v>
      </c>
      <c r="HL48" s="2">
        <f t="shared" si="742"/>
        <v>0.69772157991432138</v>
      </c>
    </row>
    <row r="49" spans="1:220" ht="20.25">
      <c r="A49" s="150" t="s">
        <v>319</v>
      </c>
      <c r="B49" s="77">
        <v>3500</v>
      </c>
      <c r="C49" s="95">
        <f t="shared" ca="1" si="554"/>
        <v>-4.7389805900423649</v>
      </c>
      <c r="D49" s="70">
        <f t="shared" ca="1" si="555"/>
        <v>-4.8108779323703015</v>
      </c>
      <c r="E49" s="71">
        <f t="shared" ca="1" si="556"/>
        <v>-4.738980590042364</v>
      </c>
      <c r="F49" s="177">
        <v>46.943893087029963</v>
      </c>
      <c r="G49" s="177">
        <v>0.87483398032748394</v>
      </c>
      <c r="H49" s="177">
        <v>14.84476622502067</v>
      </c>
      <c r="I49" s="177">
        <v>9.256286462479359</v>
      </c>
      <c r="J49" s="177">
        <v>0.10522655325674776</v>
      </c>
      <c r="K49" s="177">
        <v>14.72</v>
      </c>
      <c r="L49" s="177">
        <v>11.028394812864452</v>
      </c>
      <c r="M49" s="177">
        <v>2.1234129532225423</v>
      </c>
      <c r="N49" s="177">
        <v>3.7144861578140669E-2</v>
      </c>
      <c r="O49" s="328">
        <v>0.01</v>
      </c>
      <c r="P49" s="177">
        <v>0.1</v>
      </c>
      <c r="Q49" s="84"/>
      <c r="R49" s="72">
        <f t="shared" si="557"/>
        <v>100.04395893577934</v>
      </c>
      <c r="S49" s="106">
        <f t="shared" ca="1" si="558"/>
        <v>2.0786265982445746</v>
      </c>
      <c r="T49" s="104">
        <f t="shared" ca="1" si="559"/>
        <v>0.3422942578477236</v>
      </c>
      <c r="U49" s="107">
        <f t="shared" ca="1" si="560"/>
        <v>1457.8841572784129</v>
      </c>
      <c r="V49" s="107">
        <f t="shared" ca="1" si="561"/>
        <v>1434.0663261835477</v>
      </c>
      <c r="W49" s="105">
        <f t="shared" ca="1" si="562"/>
        <v>1440.6609504448797</v>
      </c>
      <c r="X49" s="102">
        <f t="shared" ca="1" si="563"/>
        <v>1512.6803633760912</v>
      </c>
      <c r="Y49" s="102">
        <f t="shared" ca="1" si="564"/>
        <v>1433.5696330549067</v>
      </c>
      <c r="Z49" s="103">
        <f t="shared" ca="1" si="565"/>
        <v>1474.2399005428042</v>
      </c>
      <c r="AA49" s="103">
        <f t="shared" ca="1" si="566"/>
        <v>1460.9975720043726</v>
      </c>
      <c r="AB49" s="103">
        <f t="shared" ca="1" si="567"/>
        <v>41.718107745206993</v>
      </c>
      <c r="AC49" s="4">
        <v>13.3</v>
      </c>
      <c r="AD49" s="273">
        <f t="shared" ca="1" si="568"/>
        <v>11.249757666182022</v>
      </c>
      <c r="AE49" s="3">
        <f t="shared" ca="1" si="569"/>
        <v>106.48546310512332</v>
      </c>
      <c r="AF49" s="3">
        <f t="shared" ca="1" si="570"/>
        <v>212.85826970830885</v>
      </c>
      <c r="AG49" s="2">
        <f t="shared" ca="1" si="571"/>
        <v>500.26462796604557</v>
      </c>
      <c r="AH49" s="2">
        <f t="shared" ca="1" si="572"/>
        <v>50.315291329556551</v>
      </c>
      <c r="AI49" s="87">
        <f t="shared" si="573"/>
        <v>0.32648241484536389</v>
      </c>
      <c r="AJ49" s="87">
        <f t="shared" ca="1" si="574"/>
        <v>2.0786265982445746</v>
      </c>
      <c r="AK49" s="87">
        <f t="shared" ca="1" si="575"/>
        <v>0.27952305858438914</v>
      </c>
      <c r="AL49" s="86">
        <f t="shared" ca="1" si="576"/>
        <v>0.27284313732484278</v>
      </c>
      <c r="AM49" s="87">
        <f t="shared" ca="1" si="577"/>
        <v>0.3422942578477236</v>
      </c>
      <c r="AN49" s="87">
        <f t="shared" ca="1" si="578"/>
        <v>0.34229425784772421</v>
      </c>
      <c r="AO49" s="96">
        <f t="shared" ca="1" si="579"/>
        <v>41.088994956030334</v>
      </c>
      <c r="AP49" s="96">
        <f t="shared" ca="1" si="580"/>
        <v>8.6272047316357767</v>
      </c>
      <c r="AQ49" s="96">
        <f t="shared" ca="1" si="581"/>
        <v>50.283800312333895</v>
      </c>
      <c r="AR49" s="73"/>
      <c r="AS49" s="53">
        <f t="shared" ca="1" si="138"/>
        <v>78.055559502930677</v>
      </c>
      <c r="AT49" s="68">
        <f t="shared" ca="1" si="582"/>
        <v>91.22155198241299</v>
      </c>
      <c r="AU49" s="74">
        <f t="shared" ca="1" si="583"/>
        <v>0.34229425784772421</v>
      </c>
      <c r="AV49" s="68">
        <f t="shared" si="584"/>
        <v>3.0344320209784081</v>
      </c>
      <c r="AW49" s="68">
        <f t="shared" ca="1" si="585"/>
        <v>3.0744602381156052</v>
      </c>
      <c r="AX49" s="69">
        <f t="shared" ca="1" si="586"/>
        <v>1458.6156322980382</v>
      </c>
      <c r="AY49" s="69">
        <f t="shared" ca="1" si="587"/>
        <v>1457.8841572784131</v>
      </c>
      <c r="AZ49" s="69">
        <f t="shared" ca="1" si="588"/>
        <v>1434.066326183548</v>
      </c>
      <c r="BA49" s="75"/>
      <c r="BB49" s="74">
        <f t="shared" ca="1" si="589"/>
        <v>0.10057735149919769</v>
      </c>
      <c r="BC49" s="74">
        <f t="shared" ca="1" si="590"/>
        <v>4.3376046900727216E-2</v>
      </c>
      <c r="BD49" s="68">
        <f t="shared" si="591"/>
        <v>4.0262554690807806E-2</v>
      </c>
      <c r="BE49" s="68">
        <f t="shared" ca="1" si="592"/>
        <v>0.15758530468514959</v>
      </c>
      <c r="BF49" s="68">
        <f t="shared" ca="1" si="593"/>
        <v>0.10821923574482373</v>
      </c>
      <c r="BH49" s="68">
        <f t="shared" ca="1" si="594"/>
        <v>4.4004724578034386E-2</v>
      </c>
      <c r="BI49" s="68">
        <f t="shared" ca="1" si="595"/>
        <v>9.6242310876009651E-2</v>
      </c>
      <c r="BK49" s="53">
        <f t="shared" ca="1" si="596"/>
        <v>0.17079366627918352</v>
      </c>
      <c r="BL49" s="53">
        <f t="shared" si="597"/>
        <v>1.0285665226116361E-2</v>
      </c>
      <c r="BM49" s="53">
        <f t="shared" si="598"/>
        <v>9.3332071355213125E-3</v>
      </c>
      <c r="BN49" s="53">
        <f t="shared" si="599"/>
        <v>0.19738413927291953</v>
      </c>
      <c r="BO49" s="53">
        <f t="shared" si="600"/>
        <v>9.8971795621308867E-2</v>
      </c>
      <c r="BP49" s="53">
        <f t="shared" si="601"/>
        <v>0.10640806815194925</v>
      </c>
      <c r="BQ49" s="54">
        <f t="shared" si="602"/>
        <v>1344.499456</v>
      </c>
      <c r="BR49" s="262">
        <f t="shared" si="603"/>
        <v>2.5589891086785506</v>
      </c>
      <c r="BS49" s="54">
        <f t="shared" si="604"/>
        <v>1471.8984478843513</v>
      </c>
      <c r="BT49" s="67"/>
      <c r="BU49" s="73">
        <f t="shared" si="605"/>
        <v>0.78135640957107133</v>
      </c>
      <c r="BV49" s="73">
        <f t="shared" si="606"/>
        <v>1.0949111143022326E-2</v>
      </c>
      <c r="BW49" s="73">
        <f t="shared" si="607"/>
        <v>0.29118803893724343</v>
      </c>
      <c r="BX49" s="73">
        <f t="shared" si="608"/>
        <v>0.1288279257130043</v>
      </c>
      <c r="BY49" s="73">
        <f t="shared" si="609"/>
        <v>1.4833176382400305E-3</v>
      </c>
      <c r="BZ49" s="73">
        <f t="shared" si="610"/>
        <v>0.36526054590570722</v>
      </c>
      <c r="CA49" s="73">
        <f t="shared" si="611"/>
        <v>0.19665468639201947</v>
      </c>
      <c r="CB49" s="73">
        <f t="shared" si="612"/>
        <v>6.8519295037836159E-2</v>
      </c>
      <c r="CC49" s="73">
        <f t="shared" si="613"/>
        <v>7.8863825006668083E-4</v>
      </c>
      <c r="CD49" s="73">
        <f t="shared" si="614"/>
        <v>1.3158760444766102E-4</v>
      </c>
      <c r="CE49" s="73">
        <f t="shared" si="615"/>
        <v>1.409046075806679E-3</v>
      </c>
      <c r="CF49" s="73">
        <f t="shared" si="616"/>
        <v>1.8465686022684653</v>
      </c>
      <c r="CG49" s="73">
        <f t="shared" si="617"/>
        <v>0.42313965948039717</v>
      </c>
      <c r="CH49" s="73">
        <f t="shared" si="618"/>
        <v>5.929436431211711E-3</v>
      </c>
      <c r="CI49" s="73">
        <f t="shared" si="619"/>
        <v>0.15769142753728504</v>
      </c>
      <c r="CJ49" s="73">
        <f t="shared" si="620"/>
        <v>6.9766119468695764E-2</v>
      </c>
      <c r="CK49" s="73">
        <f t="shared" si="621"/>
        <v>8.032832554489502E-4</v>
      </c>
      <c r="CL49" s="73">
        <f t="shared" si="622"/>
        <v>0.19780502357561663</v>
      </c>
      <c r="CM49" s="73">
        <f t="shared" si="623"/>
        <v>0.1064973628114514</v>
      </c>
      <c r="CN49" s="73">
        <f t="shared" si="624"/>
        <v>3.71062818644603E-2</v>
      </c>
      <c r="CO49" s="73">
        <f t="shared" si="625"/>
        <v>4.2708310381637469E-4</v>
      </c>
      <c r="CP49" s="73">
        <f t="shared" si="626"/>
        <v>7.1260609698447591E-5</v>
      </c>
      <c r="CQ49" s="73">
        <f t="shared" si="627"/>
        <v>7.6306186191820856E-4</v>
      </c>
      <c r="CR49" s="73"/>
      <c r="CS49" s="73">
        <f t="shared" ca="1" si="628"/>
        <v>0.68390470965429984</v>
      </c>
      <c r="CT49" s="73">
        <f t="shared" ca="1" si="629"/>
        <v>0.12007243885366427</v>
      </c>
      <c r="CU49" s="73">
        <f t="shared" ca="1" si="630"/>
        <v>1.2477369804549354</v>
      </c>
      <c r="CV49" s="73">
        <f t="shared" ca="1" si="631"/>
        <v>2.0517141289628995</v>
      </c>
      <c r="CW49" s="73">
        <f t="shared" ca="1" si="632"/>
        <v>0.33333333333333331</v>
      </c>
      <c r="CX49" s="73">
        <f t="shared" ca="1" si="633"/>
        <v>5.8522986783913454E-2</v>
      </c>
      <c r="CY49" s="73">
        <f t="shared" ca="1" si="634"/>
        <v>0.6081436798827532</v>
      </c>
      <c r="CZ49" s="73">
        <f t="shared" si="635"/>
        <v>0.37487178911121272</v>
      </c>
      <c r="DA49" s="73">
        <f t="shared" si="636"/>
        <v>0.42313965948039717</v>
      </c>
      <c r="DB49" s="73">
        <f t="shared" si="637"/>
        <v>-0.64226059430897076</v>
      </c>
      <c r="DC49" s="73"/>
      <c r="DD49" s="73">
        <f t="shared" ca="1" si="638"/>
        <v>1458.6156322980382</v>
      </c>
      <c r="DE49" s="73">
        <f t="shared" ca="1" si="639"/>
        <v>14630.369517798663</v>
      </c>
      <c r="DF49" s="73">
        <f t="shared" si="640"/>
        <v>8.4482387483254797</v>
      </c>
      <c r="DG49" s="73">
        <f t="shared" si="641"/>
        <v>1610.1469439033465</v>
      </c>
      <c r="DH49" s="73">
        <f t="shared" si="642"/>
        <v>1336.9969439033466</v>
      </c>
      <c r="DI49" s="73">
        <f t="shared" si="449"/>
        <v>13602.905801982104</v>
      </c>
      <c r="DJ49" s="73">
        <f t="shared" si="643"/>
        <v>8.4482387483254797</v>
      </c>
      <c r="DK49" s="73">
        <f t="shared" si="644"/>
        <v>1610.1469439033465</v>
      </c>
      <c r="DL49" s="73">
        <f t="shared" ca="1" si="645"/>
        <v>2.0786265982445746</v>
      </c>
      <c r="DM49" s="73">
        <f t="shared" si="646"/>
        <v>-0.64226059430897076</v>
      </c>
      <c r="DN49" s="73">
        <f t="shared" si="647"/>
        <v>0.37487178911121272</v>
      </c>
      <c r="DO49" s="73">
        <f t="shared" si="648"/>
        <v>0.42313965948039717</v>
      </c>
      <c r="DP49" s="73">
        <f t="shared" si="649"/>
        <v>3.0344320209784081</v>
      </c>
      <c r="DQ49" s="73">
        <f t="shared" ca="1" si="650"/>
        <v>14630.465127512289</v>
      </c>
      <c r="DR49" s="73">
        <f t="shared" si="651"/>
        <v>8.4480155211533443</v>
      </c>
      <c r="DS49" s="73">
        <f t="shared" ca="1" si="652"/>
        <v>1458.6727092360861</v>
      </c>
      <c r="DT49" s="73">
        <f t="shared" si="653"/>
        <v>1337.0564912095324</v>
      </c>
      <c r="DU49" s="73">
        <f t="shared" ca="1" si="654"/>
        <v>1440.6609504448797</v>
      </c>
      <c r="DV49" s="76">
        <f t="shared" ca="1" si="655"/>
        <v>3.0744602381156052</v>
      </c>
      <c r="DW49" s="73">
        <f t="shared" ca="1" si="656"/>
        <v>3.1706168213036974</v>
      </c>
      <c r="DX49" s="73">
        <f t="shared" ca="1" si="657"/>
        <v>4544.5115392972939</v>
      </c>
      <c r="DY49" s="73">
        <f t="shared" ca="1" si="658"/>
        <v>1433.3209578534554</v>
      </c>
      <c r="DZ49" s="73">
        <f t="shared" ca="1" si="659"/>
        <v>4.7263623556110064</v>
      </c>
      <c r="EA49" s="73"/>
      <c r="EB49" s="73">
        <f t="shared" si="660"/>
        <v>0.78135640957107133</v>
      </c>
      <c r="EC49" s="73">
        <f t="shared" si="661"/>
        <v>1.0949111143022326E-2</v>
      </c>
      <c r="ED49" s="73">
        <f t="shared" si="662"/>
        <v>0.14559401946862172</v>
      </c>
      <c r="EE49" s="73">
        <f t="shared" si="663"/>
        <v>0.1288279257130043</v>
      </c>
      <c r="EF49" s="73">
        <f t="shared" si="664"/>
        <v>1.4833176382400305E-3</v>
      </c>
      <c r="EG49" s="73">
        <f t="shared" si="665"/>
        <v>0.36526054590570722</v>
      </c>
      <c r="EH49" s="73">
        <f t="shared" si="666"/>
        <v>0.19665468639201947</v>
      </c>
      <c r="EI49" s="73">
        <f t="shared" si="667"/>
        <v>3.4259647518918079E-2</v>
      </c>
      <c r="EJ49" s="73">
        <f t="shared" si="668"/>
        <v>3.9431912503334041E-4</v>
      </c>
      <c r="EK49" s="73">
        <f t="shared" si="669"/>
        <v>6.5793802223830508E-5</v>
      </c>
      <c r="EL49" s="73">
        <f t="shared" si="670"/>
        <v>7.0452303790333951E-4</v>
      </c>
      <c r="EM49" s="73">
        <f t="shared" si="671"/>
        <v>1.6655502993157651</v>
      </c>
      <c r="EN49" s="73">
        <f t="shared" si="672"/>
        <v>0.46912807730397882</v>
      </c>
      <c r="EO49" s="73">
        <f t="shared" si="673"/>
        <v>6.5738699981143754E-3</v>
      </c>
      <c r="EP49" s="73">
        <f t="shared" si="674"/>
        <v>8.7414964008252452E-2</v>
      </c>
      <c r="EQ49" s="73">
        <f t="shared" si="675"/>
        <v>7.7348565075416154E-2</v>
      </c>
      <c r="ER49" s="73">
        <f t="shared" si="676"/>
        <v>8.90587116371929E-4</v>
      </c>
      <c r="ES49" s="73">
        <f t="shared" si="677"/>
        <v>0.21930322131715993</v>
      </c>
      <c r="ET49" s="73">
        <f t="shared" si="678"/>
        <v>0.11807189880294121</v>
      </c>
      <c r="EU49" s="73">
        <f t="shared" si="679"/>
        <v>2.0569566426779481E-2</v>
      </c>
      <c r="EV49" s="73">
        <f t="shared" si="680"/>
        <v>2.3675005503906609E-4</v>
      </c>
      <c r="EW49" s="73">
        <f t="shared" si="681"/>
        <v>3.9502741076543687E-5</v>
      </c>
      <c r="EX49" s="73">
        <f t="shared" si="682"/>
        <v>4.2299715486993631E-4</v>
      </c>
      <c r="EY49" s="73">
        <f t="shared" si="683"/>
        <v>0.99999999999999989</v>
      </c>
      <c r="EZ49" s="73">
        <f t="shared" si="684"/>
        <v>0.15769142753728504</v>
      </c>
      <c r="FA49" s="73">
        <f t="shared" si="685"/>
        <v>0.58676052344889396</v>
      </c>
      <c r="FB49" s="73">
        <f t="shared" si="686"/>
        <v>1.4903283502938396</v>
      </c>
      <c r="FC49" s="73">
        <f t="shared" si="687"/>
        <v>0.63361460679210335</v>
      </c>
      <c r="FD49" s="73">
        <f t="shared" si="688"/>
        <v>1.0798521397925815</v>
      </c>
      <c r="FE49" s="73">
        <f t="shared" ca="1" si="689"/>
        <v>0.12727298403733353</v>
      </c>
      <c r="FF49" s="73">
        <f t="shared" ca="1" si="690"/>
        <v>7.8469684959110112E-3</v>
      </c>
      <c r="FG49" s="73">
        <f t="shared" ca="1" si="691"/>
        <v>6.1654628083594135E-2</v>
      </c>
      <c r="FH49" s="73">
        <f t="shared" ca="1" si="692"/>
        <v>0.2811387252466675</v>
      </c>
      <c r="FI49" s="73">
        <f t="shared" ca="1" si="693"/>
        <v>9.6232171310563261E-2</v>
      </c>
      <c r="FJ49" s="73">
        <f t="shared" ca="1" si="694"/>
        <v>0.3422942578477241</v>
      </c>
      <c r="FK49" s="73">
        <f t="shared" ca="1" si="695"/>
        <v>9.6232171310563233E-2</v>
      </c>
      <c r="FL49" s="73">
        <f t="shared" ca="1" si="696"/>
        <v>9.6232171310563122E-2</v>
      </c>
      <c r="FM49" s="73"/>
      <c r="FN49" s="73"/>
      <c r="FO49" s="73"/>
      <c r="FP49" s="73">
        <f t="shared" ca="1" si="697"/>
        <v>1.8244310396482597</v>
      </c>
      <c r="FQ49" s="73">
        <f t="shared" ca="1" si="698"/>
        <v>0.1755689603517403</v>
      </c>
      <c r="FR49" s="73">
        <f t="shared" si="479"/>
        <v>0.33333333333333331</v>
      </c>
      <c r="FS49" s="73">
        <f t="shared" ca="1" si="699"/>
        <v>5.8522986783913433E-2</v>
      </c>
      <c r="FT49" s="73">
        <f t="shared" ca="1" si="700"/>
        <v>0.6081436798827532</v>
      </c>
      <c r="FU49" s="73">
        <f t="shared" si="701"/>
        <v>20.026666666666664</v>
      </c>
      <c r="FV49" s="73">
        <f t="shared" ca="1" si="702"/>
        <v>4.2048766004241802</v>
      </c>
      <c r="FW49" s="73">
        <f t="shared" ca="1" si="703"/>
        <v>24.508190299274951</v>
      </c>
      <c r="FX49" s="73">
        <f t="shared" ca="1" si="704"/>
        <v>48.739733566365793</v>
      </c>
      <c r="FY49" s="73">
        <f t="shared" ca="1" si="705"/>
        <v>41.088994956030334</v>
      </c>
      <c r="FZ49" s="73">
        <f t="shared" ca="1" si="706"/>
        <v>8.6272047316357767</v>
      </c>
      <c r="GA49" s="73">
        <f t="shared" ca="1" si="707"/>
        <v>50.283800312333895</v>
      </c>
      <c r="GB49" s="73">
        <f t="shared" ca="1" si="708"/>
        <v>91.22155198241299</v>
      </c>
      <c r="GC49" s="73">
        <f t="shared" ca="1" si="709"/>
        <v>2078626598.2445745</v>
      </c>
      <c r="GD49" s="2">
        <f t="shared" si="152"/>
        <v>38</v>
      </c>
      <c r="GE49">
        <f t="shared" ca="1" si="710"/>
        <v>1374.6976813056415</v>
      </c>
      <c r="GF49">
        <f t="shared" ca="1" si="711"/>
        <v>1374.1966806244222</v>
      </c>
      <c r="GG49">
        <f t="shared" ca="1" si="712"/>
        <v>1773.4412821412186</v>
      </c>
      <c r="GH49" s="2">
        <f t="shared" ca="1" si="713"/>
        <v>0.20961454791385548</v>
      </c>
      <c r="GI49" s="2">
        <f t="shared" ca="1" si="714"/>
        <v>1.5672547673301382</v>
      </c>
      <c r="GJ49" s="2">
        <f t="shared" ca="1" si="715"/>
        <v>-2.2850255858041035</v>
      </c>
      <c r="GK49" s="2">
        <f t="shared" ca="1" si="716"/>
        <v>1.7246921918757201</v>
      </c>
      <c r="GL49" s="2">
        <f t="shared" ca="1" si="717"/>
        <v>-0.20961454791385548</v>
      </c>
      <c r="GM49">
        <f t="shared" ca="1" si="718"/>
        <v>0.44162964200566185</v>
      </c>
      <c r="GN49">
        <f t="shared" ca="1" si="719"/>
        <v>8.6134005972430497E-2</v>
      </c>
      <c r="GO49">
        <f t="shared" ca="1" si="720"/>
        <v>-0.20065788118253139</v>
      </c>
      <c r="GP49">
        <f t="shared" ca="1" si="721"/>
        <v>-6.0768683508065691E-2</v>
      </c>
      <c r="GQ49">
        <f t="shared" ca="1" si="722"/>
        <v>0.30290521302154638</v>
      </c>
      <c r="GR49">
        <f t="shared" ca="1" si="723"/>
        <v>0.19503674069804905</v>
      </c>
      <c r="GS49">
        <f t="shared" ca="1" si="724"/>
        <v>-5.3755191702035202E-2</v>
      </c>
      <c r="GT49">
        <f t="shared" ca="1" si="725"/>
        <v>1.25511518631607E-3</v>
      </c>
      <c r="GU49">
        <f t="shared" ca="1" si="726"/>
        <v>0.21983755925802076</v>
      </c>
      <c r="GV49">
        <f t="shared" ca="1" si="727"/>
        <v>-0.49067353498449906</v>
      </c>
      <c r="GW49">
        <f t="shared" ca="1" si="728"/>
        <v>0.17079366627918352</v>
      </c>
      <c r="GY49" s="15">
        <f t="shared" si="729"/>
        <v>0.13374874267656692</v>
      </c>
      <c r="GZ49" s="2">
        <f t="shared" si="730"/>
        <v>9.4028336747443375E-2</v>
      </c>
      <c r="HA49" s="2">
        <f t="shared" si="731"/>
        <v>3.7813109690090094E-2</v>
      </c>
      <c r="HB49" s="2">
        <f t="shared" si="732"/>
        <v>0.26559018911410037</v>
      </c>
      <c r="HC49" s="2">
        <f t="shared" si="733"/>
        <v>0.50359067525309464</v>
      </c>
      <c r="HD49" s="2">
        <f t="shared" si="734"/>
        <v>0.35403542977654118</v>
      </c>
      <c r="HE49" s="2">
        <f t="shared" si="735"/>
        <v>0.14237389497036421</v>
      </c>
      <c r="HF49" s="2">
        <f t="shared" si="736"/>
        <v>-1.3856845960535773</v>
      </c>
      <c r="HG49" s="2">
        <f t="shared" si="737"/>
        <v>-1.3680365362500801</v>
      </c>
      <c r="HH49" s="2">
        <f t="shared" si="738"/>
        <v>-1.3768605661518287</v>
      </c>
      <c r="HI49" s="2">
        <f t="shared" si="739"/>
        <v>1.9827696292965302</v>
      </c>
      <c r="HJ49" s="2">
        <f t="shared" si="740"/>
        <v>0.24037796271380901</v>
      </c>
      <c r="HK49" s="2">
        <f t="shared" si="741"/>
        <v>0.33245335907963136</v>
      </c>
      <c r="HL49" s="2">
        <f t="shared" si="742"/>
        <v>0.86643818042033549</v>
      </c>
    </row>
    <row r="50" spans="1:220" ht="20.25">
      <c r="A50" s="150" t="s">
        <v>320</v>
      </c>
      <c r="B50" s="77">
        <v>3500</v>
      </c>
      <c r="C50" s="95">
        <f t="shared" ca="1" si="554"/>
        <v>-2.8291709607566844</v>
      </c>
      <c r="D50" s="70">
        <f t="shared" ca="1" si="555"/>
        <v>-2.4807219588153147</v>
      </c>
      <c r="E50" s="71">
        <f t="shared" ca="1" si="556"/>
        <v>-2.8291709607566844</v>
      </c>
      <c r="F50" s="177">
        <v>44.042683119728856</v>
      </c>
      <c r="G50" s="177">
        <v>1.6428850953805827</v>
      </c>
      <c r="H50" s="177">
        <v>10.472088916415087</v>
      </c>
      <c r="I50" s="177">
        <v>11.75720536191916</v>
      </c>
      <c r="J50" s="177">
        <v>0.15639214416333611</v>
      </c>
      <c r="K50" s="177">
        <v>19.399999999999999</v>
      </c>
      <c r="L50" s="177">
        <v>9.0555196659531045</v>
      </c>
      <c r="M50" s="177">
        <v>2.3042448594443137</v>
      </c>
      <c r="N50" s="326">
        <v>0.82743165491563508</v>
      </c>
      <c r="O50" s="328">
        <v>0.01</v>
      </c>
      <c r="P50" s="177">
        <v>0.3</v>
      </c>
      <c r="Q50" s="84"/>
      <c r="R50" s="72">
        <f t="shared" si="557"/>
        <v>99.968450817920058</v>
      </c>
      <c r="S50" s="106">
        <f t="shared" ca="1" si="558"/>
        <v>3.7729156038647131</v>
      </c>
      <c r="T50" s="104">
        <f t="shared" ca="1" si="559"/>
        <v>0.34672994723225431</v>
      </c>
      <c r="U50" s="107">
        <f t="shared" ca="1" si="560"/>
        <v>1678.7586233030677</v>
      </c>
      <c r="V50" s="107">
        <f t="shared" ca="1" si="561"/>
        <v>1611.9087010640203</v>
      </c>
      <c r="W50" s="105">
        <f t="shared" ca="1" si="562"/>
        <v>1621.8857455038449</v>
      </c>
      <c r="X50" s="102">
        <f t="shared" ca="1" si="563"/>
        <v>1648.1895754594675</v>
      </c>
      <c r="Y50" s="102">
        <f t="shared" ca="1" si="564"/>
        <v>1571.1880571312781</v>
      </c>
      <c r="Z50" s="103">
        <f t="shared" ca="1" si="565"/>
        <v>1627.7889305782198</v>
      </c>
      <c r="AA50" s="103">
        <f t="shared" ca="1" si="566"/>
        <v>1619.1167411078636</v>
      </c>
      <c r="AB50" s="103">
        <f t="shared" ca="1" si="567"/>
        <v>40.825482713277083</v>
      </c>
      <c r="AC50" s="4">
        <v>13.3</v>
      </c>
      <c r="AD50" s="273">
        <f t="shared" ca="1" si="568"/>
        <v>12.566192390809375</v>
      </c>
      <c r="AE50" s="3">
        <f t="shared" ca="1" si="569"/>
        <v>119.41565266066679</v>
      </c>
      <c r="AF50" s="3">
        <f t="shared" ca="1" si="570"/>
        <v>214.19098684222357</v>
      </c>
      <c r="AG50" s="2">
        <f t="shared" ca="1" si="571"/>
        <v>557.51950360371711</v>
      </c>
      <c r="AH50" s="2">
        <f t="shared" ca="1" si="572"/>
        <v>54.619223396294075</v>
      </c>
      <c r="AI50" s="87">
        <f t="shared" si="573"/>
        <v>0.44175226342006169</v>
      </c>
      <c r="AJ50" s="87">
        <f t="shared" ca="1" si="574"/>
        <v>3.7729156038647131</v>
      </c>
      <c r="AK50" s="87">
        <f t="shared" ca="1" si="575"/>
        <v>0.2796304440640785</v>
      </c>
      <c r="AL50" s="86">
        <f t="shared" ca="1" si="576"/>
        <v>0.25597592026221944</v>
      </c>
      <c r="AM50" s="87">
        <f t="shared" ca="1" si="577"/>
        <v>0.34672994723225431</v>
      </c>
      <c r="AN50" s="87">
        <f t="shared" ca="1" si="578"/>
        <v>0.34672994723225448</v>
      </c>
      <c r="AO50" s="96">
        <f t="shared" ca="1" si="579"/>
        <v>41.226652282551463</v>
      </c>
      <c r="AP50" s="96">
        <f t="shared" ca="1" si="580"/>
        <v>7.8931487612891518</v>
      </c>
      <c r="AQ50" s="96">
        <f t="shared" ca="1" si="581"/>
        <v>50.880198956159383</v>
      </c>
      <c r="AR50" s="73"/>
      <c r="AS50" s="53">
        <f t="shared" ca="1" si="138"/>
        <v>79.939201593968718</v>
      </c>
      <c r="AT50" s="68">
        <f t="shared" ca="1" si="582"/>
        <v>91.995294222896774</v>
      </c>
      <c r="AU50" s="74">
        <f t="shared" ca="1" si="583"/>
        <v>0.34672994723225448</v>
      </c>
      <c r="AV50" s="68">
        <f t="shared" si="584"/>
        <v>2.3303124428289785</v>
      </c>
      <c r="AW50" s="68">
        <f t="shared" ca="1" si="585"/>
        <v>2.3748193366472448</v>
      </c>
      <c r="AX50" s="69">
        <f t="shared" ca="1" si="586"/>
        <v>1682.3264435833435</v>
      </c>
      <c r="AY50" s="69">
        <f t="shared" ca="1" si="587"/>
        <v>1678.7586233030677</v>
      </c>
      <c r="AZ50" s="69">
        <f t="shared" ca="1" si="588"/>
        <v>1611.9087010640203</v>
      </c>
      <c r="BA50" s="75"/>
      <c r="BB50" s="74">
        <f t="shared" ca="1" si="589"/>
        <v>9.7968273833012348E-2</v>
      </c>
      <c r="BC50" s="74">
        <f t="shared" ca="1" si="590"/>
        <v>4.3465001729348085E-3</v>
      </c>
      <c r="BD50" s="68">
        <f t="shared" si="591"/>
        <v>1.4028078894644108E-2</v>
      </c>
      <c r="BE50" s="68">
        <f t="shared" ca="1" si="592"/>
        <v>0.12173765520872049</v>
      </c>
      <c r="BF50" s="68">
        <f t="shared" ca="1" si="593"/>
        <v>0.12822282652654293</v>
      </c>
      <c r="BH50" s="68">
        <f t="shared" ca="1" si="594"/>
        <v>5.3325478632220466E-2</v>
      </c>
      <c r="BI50" s="68">
        <f t="shared" ca="1" si="595"/>
        <v>0.12788453470214189</v>
      </c>
      <c r="BK50" s="53">
        <f t="shared" ca="1" si="596"/>
        <v>0.57550105210841229</v>
      </c>
      <c r="BL50" s="53">
        <f t="shared" si="597"/>
        <v>2.1995246957657682E-2</v>
      </c>
      <c r="BM50" s="53">
        <f t="shared" si="598"/>
        <v>2.1597888456149489E-2</v>
      </c>
      <c r="BN50" s="53">
        <f t="shared" si="599"/>
        <v>0.28170418232504923</v>
      </c>
      <c r="BO50" s="53">
        <f t="shared" si="600"/>
        <v>1.374478895596372</v>
      </c>
      <c r="BP50" s="53">
        <f t="shared" si="601"/>
        <v>1.0318539286146011E-2</v>
      </c>
      <c r="BQ50" s="54">
        <f t="shared" si="602"/>
        <v>1433.1424</v>
      </c>
      <c r="BR50" s="262">
        <f t="shared" si="603"/>
        <v>4.4729941009813494</v>
      </c>
      <c r="BS50" s="54">
        <f t="shared" si="604"/>
        <v>1635.9631003868708</v>
      </c>
      <c r="BT50" s="67"/>
      <c r="BU50" s="73">
        <f t="shared" si="605"/>
        <v>0.73306729560134587</v>
      </c>
      <c r="BV50" s="73">
        <f t="shared" si="606"/>
        <v>2.0561765899631823E-2</v>
      </c>
      <c r="BW50" s="73">
        <f t="shared" si="607"/>
        <v>0.20541563194223397</v>
      </c>
      <c r="BX50" s="73">
        <f t="shared" si="608"/>
        <v>0.16363542605315465</v>
      </c>
      <c r="BY50" s="73">
        <f t="shared" si="609"/>
        <v>2.2045692721079238E-3</v>
      </c>
      <c r="BZ50" s="73">
        <f t="shared" si="610"/>
        <v>0.4813895781637717</v>
      </c>
      <c r="CA50" s="73">
        <f t="shared" si="611"/>
        <v>0.16147502970672442</v>
      </c>
      <c r="CB50" s="73">
        <f t="shared" si="612"/>
        <v>7.4354464648090146E-2</v>
      </c>
      <c r="CC50" s="73">
        <f t="shared" si="613"/>
        <v>1.7567551059779939E-2</v>
      </c>
      <c r="CD50" s="73">
        <f t="shared" si="614"/>
        <v>1.3158760444766102E-4</v>
      </c>
      <c r="CE50" s="73">
        <f t="shared" si="615"/>
        <v>4.2271382274200369E-3</v>
      </c>
      <c r="CF50" s="73">
        <f t="shared" si="616"/>
        <v>1.8640300381787083</v>
      </c>
      <c r="CG50" s="73">
        <f t="shared" si="617"/>
        <v>0.39327010862850981</v>
      </c>
      <c r="CH50" s="73">
        <f t="shared" si="618"/>
        <v>1.1030812529030997E-2</v>
      </c>
      <c r="CI50" s="73">
        <f t="shared" si="619"/>
        <v>0.11019974342416705</v>
      </c>
      <c r="CJ50" s="73">
        <f t="shared" si="620"/>
        <v>8.7785831076541157E-2</v>
      </c>
      <c r="CK50" s="73">
        <f t="shared" si="621"/>
        <v>1.182689778037025E-3</v>
      </c>
      <c r="CL50" s="73">
        <f t="shared" si="622"/>
        <v>0.2582520497545866</v>
      </c>
      <c r="CM50" s="73">
        <f t="shared" si="623"/>
        <v>8.66268388381215E-2</v>
      </c>
      <c r="CN50" s="73">
        <f t="shared" si="624"/>
        <v>3.988909144443821E-2</v>
      </c>
      <c r="CO50" s="73">
        <f t="shared" si="625"/>
        <v>9.4244999812045423E-3</v>
      </c>
      <c r="CP50" s="73">
        <f t="shared" si="626"/>
        <v>7.059307079419793E-5</v>
      </c>
      <c r="CQ50" s="73">
        <f t="shared" si="627"/>
        <v>2.2677414745688623E-3</v>
      </c>
      <c r="CR50" s="73"/>
      <c r="CS50" s="73">
        <f t="shared" ca="1" si="628"/>
        <v>0.68619594345125601</v>
      </c>
      <c r="CT50" s="73">
        <f t="shared" ca="1" si="629"/>
        <v>0.10985593265538138</v>
      </c>
      <c r="CU50" s="73">
        <f t="shared" ca="1" si="630"/>
        <v>1.2625359542471313</v>
      </c>
      <c r="CV50" s="73">
        <f t="shared" ca="1" si="631"/>
        <v>2.0585878303537686</v>
      </c>
      <c r="CW50" s="73">
        <f t="shared" ca="1" si="632"/>
        <v>0.33333333333333326</v>
      </c>
      <c r="CX50" s="73">
        <f t="shared" ca="1" si="633"/>
        <v>5.3364705180688171E-2</v>
      </c>
      <c r="CY50" s="73">
        <f t="shared" ca="1" si="634"/>
        <v>0.6133019614859786</v>
      </c>
      <c r="CZ50" s="73">
        <f t="shared" si="635"/>
        <v>0.43384740944728628</v>
      </c>
      <c r="DA50" s="73">
        <f t="shared" si="636"/>
        <v>0.39327010862850981</v>
      </c>
      <c r="DB50" s="73">
        <f t="shared" si="637"/>
        <v>-0.48629867447270564</v>
      </c>
      <c r="DC50" s="73"/>
      <c r="DD50" s="73">
        <f t="shared" ca="1" si="638"/>
        <v>1682.3264435833435</v>
      </c>
      <c r="DE50" s="73">
        <f t="shared" ca="1" si="639"/>
        <v>15467.895714890308</v>
      </c>
      <c r="DF50" s="73">
        <f t="shared" si="640"/>
        <v>7.9100394001913523</v>
      </c>
      <c r="DG50" s="73">
        <f t="shared" si="641"/>
        <v>1719.7013963866016</v>
      </c>
      <c r="DH50" s="73">
        <f t="shared" si="642"/>
        <v>1446.5513963866015</v>
      </c>
      <c r="DI50" s="73">
        <f t="shared" si="449"/>
        <v>13602.905801982104</v>
      </c>
      <c r="DJ50" s="73">
        <f t="shared" si="643"/>
        <v>7.9100394001913523</v>
      </c>
      <c r="DK50" s="73">
        <f t="shared" si="644"/>
        <v>1719.7013963866016</v>
      </c>
      <c r="DL50" s="73">
        <f t="shared" ca="1" si="645"/>
        <v>3.7729156038647131</v>
      </c>
      <c r="DM50" s="73">
        <f t="shared" si="646"/>
        <v>-0.48629867447270564</v>
      </c>
      <c r="DN50" s="73">
        <f t="shared" si="647"/>
        <v>0.43384740944728628</v>
      </c>
      <c r="DO50" s="73">
        <f t="shared" si="648"/>
        <v>0.39327010862850981</v>
      </c>
      <c r="DP50" s="73">
        <f t="shared" si="649"/>
        <v>2.3303124428289785</v>
      </c>
      <c r="DQ50" s="73">
        <f t="shared" ca="1" si="650"/>
        <v>15467.952182990322</v>
      </c>
      <c r="DR50" s="73">
        <f t="shared" si="651"/>
        <v>7.9098161730192169</v>
      </c>
      <c r="DS50" s="73">
        <f t="shared" ca="1" si="652"/>
        <v>1682.388769124912</v>
      </c>
      <c r="DT50" s="73">
        <f t="shared" si="653"/>
        <v>1446.6180872029222</v>
      </c>
      <c r="DU50" s="73">
        <f t="shared" ca="1" si="654"/>
        <v>1621.8857455038449</v>
      </c>
      <c r="DV50" s="76">
        <f t="shared" ca="1" si="655"/>
        <v>2.3748193366472448</v>
      </c>
      <c r="DW50" s="73">
        <f t="shared" ca="1" si="656"/>
        <v>2.862736112103609</v>
      </c>
      <c r="DX50" s="73">
        <f t="shared" ca="1" si="657"/>
        <v>4637.8499206169072</v>
      </c>
      <c r="DY50" s="73">
        <f t="shared" ca="1" si="658"/>
        <v>1620.0759479744365</v>
      </c>
      <c r="DZ50" s="73">
        <f t="shared" ca="1" si="659"/>
        <v>3.7869110778771078</v>
      </c>
      <c r="EA50" s="73"/>
      <c r="EB50" s="73">
        <f t="shared" si="660"/>
        <v>0.73306729560134587</v>
      </c>
      <c r="EC50" s="73">
        <f t="shared" si="661"/>
        <v>2.0561765899631823E-2</v>
      </c>
      <c r="ED50" s="73">
        <f t="shared" si="662"/>
        <v>0.10270781597111699</v>
      </c>
      <c r="EE50" s="73">
        <f t="shared" si="663"/>
        <v>0.16363542605315465</v>
      </c>
      <c r="EF50" s="73">
        <f t="shared" si="664"/>
        <v>2.2045692721079238E-3</v>
      </c>
      <c r="EG50" s="73">
        <f t="shared" si="665"/>
        <v>0.4813895781637717</v>
      </c>
      <c r="EH50" s="73">
        <f t="shared" si="666"/>
        <v>0.16147502970672442</v>
      </c>
      <c r="EI50" s="73">
        <f t="shared" si="667"/>
        <v>3.7177232324045073E-2</v>
      </c>
      <c r="EJ50" s="73">
        <f t="shared" si="668"/>
        <v>8.7837755298899693E-3</v>
      </c>
      <c r="EK50" s="73">
        <f t="shared" si="669"/>
        <v>6.5793802223830508E-5</v>
      </c>
      <c r="EL50" s="73">
        <f t="shared" si="670"/>
        <v>2.1135691137100184E-3</v>
      </c>
      <c r="EM50" s="73">
        <f t="shared" si="671"/>
        <v>1.7131818514377226</v>
      </c>
      <c r="EN50" s="73">
        <f t="shared" si="672"/>
        <v>0.42789812125674054</v>
      </c>
      <c r="EO50" s="73">
        <f t="shared" si="673"/>
        <v>1.2002091828357944E-2</v>
      </c>
      <c r="EP50" s="73">
        <f t="shared" si="674"/>
        <v>5.9951496617199958E-2</v>
      </c>
      <c r="EQ50" s="73">
        <f t="shared" si="675"/>
        <v>9.5515502873107047E-2</v>
      </c>
      <c r="ER50" s="73">
        <f t="shared" si="676"/>
        <v>1.2868273559271148E-3</v>
      </c>
      <c r="ES50" s="73">
        <f t="shared" si="677"/>
        <v>0.28099152332239791</v>
      </c>
      <c r="ET50" s="73">
        <f t="shared" si="678"/>
        <v>9.425445966008375E-2</v>
      </c>
      <c r="EU50" s="73">
        <f t="shared" si="679"/>
        <v>2.1700692365405047E-2</v>
      </c>
      <c r="EV50" s="73">
        <f t="shared" si="680"/>
        <v>5.127170546733565E-3</v>
      </c>
      <c r="EW50" s="73">
        <f t="shared" si="681"/>
        <v>3.8404447355437234E-5</v>
      </c>
      <c r="EX50" s="73">
        <f t="shared" si="682"/>
        <v>1.2337097266914695E-3</v>
      </c>
      <c r="EY50" s="73">
        <f t="shared" si="683"/>
        <v>0.99999999999999989</v>
      </c>
      <c r="EZ50" s="73">
        <f t="shared" si="684"/>
        <v>0.11019974342416705</v>
      </c>
      <c r="FA50" s="73">
        <f t="shared" si="685"/>
        <v>0.51450066458170785</v>
      </c>
      <c r="FB50" s="73">
        <f t="shared" si="686"/>
        <v>1.4381809059040533</v>
      </c>
      <c r="FC50" s="73">
        <f t="shared" si="687"/>
        <v>0.8183591534812753</v>
      </c>
      <c r="FD50" s="73">
        <f t="shared" si="688"/>
        <v>1.5905891086585986</v>
      </c>
      <c r="FE50" s="73">
        <f t="shared" ca="1" si="689"/>
        <v>0.17727063326321363</v>
      </c>
      <c r="FF50" s="73">
        <f t="shared" ca="1" si="690"/>
        <v>1.2500242037062841E-2</v>
      </c>
      <c r="FG50" s="73">
        <f t="shared" ca="1" si="691"/>
        <v>7.0515018798981366E-2</v>
      </c>
      <c r="FH50" s="73">
        <f t="shared" ca="1" si="692"/>
        <v>0.25095069760547684</v>
      </c>
      <c r="FI50" s="73">
        <f t="shared" ca="1" si="693"/>
        <v>8.7012122138644427E-2</v>
      </c>
      <c r="FJ50" s="73">
        <f t="shared" ca="1" si="694"/>
        <v>0.34672994723225448</v>
      </c>
      <c r="FK50" s="73">
        <f t="shared" ca="1" si="695"/>
        <v>8.7012122138644454E-2</v>
      </c>
      <c r="FL50" s="73">
        <f t="shared" ca="1" si="696"/>
        <v>8.7012122138644385E-2</v>
      </c>
      <c r="FM50" s="73"/>
      <c r="FN50" s="73"/>
      <c r="FO50" s="73"/>
      <c r="FP50" s="73">
        <f t="shared" ca="1" si="697"/>
        <v>1.8399058844579355</v>
      </c>
      <c r="FQ50" s="73">
        <f t="shared" ca="1" si="698"/>
        <v>0.16009411554206454</v>
      </c>
      <c r="FR50" s="73">
        <f t="shared" si="479"/>
        <v>0.33333333333333331</v>
      </c>
      <c r="FS50" s="73">
        <f t="shared" ca="1" si="699"/>
        <v>5.3364705180688178E-2</v>
      </c>
      <c r="FT50" s="73">
        <f t="shared" ca="1" si="700"/>
        <v>0.61330196148597849</v>
      </c>
      <c r="FU50" s="73">
        <f t="shared" si="701"/>
        <v>20.026666666666664</v>
      </c>
      <c r="FV50" s="73">
        <f t="shared" ca="1" si="702"/>
        <v>3.8342540672324454</v>
      </c>
      <c r="FW50" s="73">
        <f t="shared" ca="1" si="703"/>
        <v>24.716069047884933</v>
      </c>
      <c r="FX50" s="73">
        <f t="shared" ca="1" si="704"/>
        <v>48.576989781784043</v>
      </c>
      <c r="FY50" s="73">
        <f t="shared" ca="1" si="705"/>
        <v>41.226652282551463</v>
      </c>
      <c r="FZ50" s="73">
        <f t="shared" ca="1" si="706"/>
        <v>7.8931487612891518</v>
      </c>
      <c r="GA50" s="73">
        <f t="shared" ca="1" si="707"/>
        <v>50.880198956159383</v>
      </c>
      <c r="GB50" s="73">
        <f t="shared" ca="1" si="708"/>
        <v>91.995294222896774</v>
      </c>
      <c r="GC50" s="73">
        <f t="shared" ca="1" si="709"/>
        <v>3772915603.8647132</v>
      </c>
      <c r="GD50" s="2">
        <f t="shared" si="152"/>
        <v>38</v>
      </c>
      <c r="GE50">
        <f t="shared" ca="1" si="710"/>
        <v>1548.9033955232221</v>
      </c>
      <c r="GF50">
        <f t="shared" ca="1" si="711"/>
        <v>1548.765594200187</v>
      </c>
      <c r="GG50">
        <f t="shared" ca="1" si="712"/>
        <v>1863.6085294591733</v>
      </c>
      <c r="GH50" s="2">
        <f t="shared" ca="1" si="713"/>
        <v>0.4128821534329486</v>
      </c>
      <c r="GI50" s="2">
        <f t="shared" ca="1" si="714"/>
        <v>1.0555794876328566</v>
      </c>
      <c r="GJ50" s="2">
        <f t="shared" ca="1" si="715"/>
        <v>-1.3158922745893844</v>
      </c>
      <c r="GK50" s="2">
        <f t="shared" ca="1" si="716"/>
        <v>1.2655398713526624</v>
      </c>
      <c r="GL50" s="2">
        <f t="shared" ca="1" si="717"/>
        <v>-0.4128821534329486</v>
      </c>
      <c r="GM50">
        <f t="shared" ca="1" si="718"/>
        <v>0.34659576369382533</v>
      </c>
      <c r="GN50">
        <f t="shared" ca="1" si="719"/>
        <v>4.1636071972452268E-2</v>
      </c>
      <c r="GO50">
        <f t="shared" ca="1" si="720"/>
        <v>-0.14454676100587838</v>
      </c>
      <c r="GP50">
        <f t="shared" ca="1" si="721"/>
        <v>-0.1631249092893623</v>
      </c>
      <c r="GQ50">
        <f t="shared" ca="1" si="722"/>
        <v>0.278031405549372</v>
      </c>
      <c r="GR50">
        <f t="shared" ca="1" si="723"/>
        <v>0.12012862341050599</v>
      </c>
      <c r="GS50">
        <f t="shared" ca="1" si="724"/>
        <v>6.0214220255936188E-2</v>
      </c>
      <c r="GT50">
        <f t="shared" ca="1" si="725"/>
        <v>3.9370356389472521E-3</v>
      </c>
      <c r="GU50">
        <f t="shared" ca="1" si="726"/>
        <v>0.52797675463485649</v>
      </c>
      <c r="GV50">
        <f t="shared" ca="1" si="727"/>
        <v>-0.29907146622026948</v>
      </c>
      <c r="GW50">
        <f t="shared" ca="1" si="728"/>
        <v>0.57550105210841229</v>
      </c>
      <c r="GY50" s="15">
        <f t="shared" si="729"/>
        <v>0.19429895067798694</v>
      </c>
      <c r="GZ50" s="2">
        <f t="shared" si="730"/>
        <v>7.1991992892913345E-2</v>
      </c>
      <c r="HA50" s="2">
        <f t="shared" si="731"/>
        <v>2.5224773624060309E-3</v>
      </c>
      <c r="HB50" s="2">
        <f t="shared" si="732"/>
        <v>0.26881342093330629</v>
      </c>
      <c r="HC50" s="2">
        <f t="shared" si="733"/>
        <v>0.7228022693338414</v>
      </c>
      <c r="HD50" s="2">
        <f t="shared" si="734"/>
        <v>0.26781398280993884</v>
      </c>
      <c r="HE50" s="2">
        <f t="shared" si="735"/>
        <v>9.3837478562198273E-3</v>
      </c>
      <c r="HF50" s="2">
        <f t="shared" si="736"/>
        <v>2.396369792524653</v>
      </c>
      <c r="HG50" s="2">
        <f t="shared" si="737"/>
        <v>-1.2099957201060754</v>
      </c>
      <c r="HH50" s="2">
        <f t="shared" si="738"/>
        <v>0.59318703620928881</v>
      </c>
      <c r="HI50" s="2">
        <f t="shared" si="739"/>
        <v>0.82068140144279211</v>
      </c>
      <c r="HJ50" s="2">
        <f t="shared" si="740"/>
        <v>0.13596017662651402</v>
      </c>
      <c r="HK50" s="2">
        <f t="shared" si="741"/>
        <v>0.34335935806143053</v>
      </c>
      <c r="HL50" s="2">
        <f t="shared" si="742"/>
        <v>0.68213489116863346</v>
      </c>
    </row>
    <row r="51" spans="1:220" ht="20.25">
      <c r="A51" s="295" t="s">
        <v>321</v>
      </c>
      <c r="B51" s="77">
        <v>3500</v>
      </c>
      <c r="C51" s="95">
        <f t="shared" ca="1" si="554"/>
        <v>-3.2880341699759996</v>
      </c>
      <c r="D51" s="70">
        <f t="shared" ca="1" si="555"/>
        <v>-3.1360947257874114</v>
      </c>
      <c r="E51" s="71">
        <f t="shared" ca="1" si="556"/>
        <v>-3.2880341699759983</v>
      </c>
      <c r="F51" s="324">
        <v>47.165069550644233</v>
      </c>
      <c r="G51" s="324">
        <v>1.6380766143162322</v>
      </c>
      <c r="H51" s="324">
        <v>8.9906330789326194</v>
      </c>
      <c r="I51" s="324">
        <v>11.561977864474127</v>
      </c>
      <c r="J51" s="324">
        <v>0.18371650357363756</v>
      </c>
      <c r="K51" s="324">
        <v>21.4</v>
      </c>
      <c r="L51" s="324">
        <v>7.3373014356828827</v>
      </c>
      <c r="M51" s="324">
        <v>1.3968723128466016</v>
      </c>
      <c r="N51" s="327">
        <v>0.20473653661424981</v>
      </c>
      <c r="O51" s="328">
        <v>0.01</v>
      </c>
      <c r="P51" s="329"/>
      <c r="Q51" s="84"/>
      <c r="R51" s="72">
        <f t="shared" si="557"/>
        <v>99.888383897084594</v>
      </c>
      <c r="S51" s="106">
        <f t="shared" ca="1" si="558"/>
        <v>2.9590637190932951</v>
      </c>
      <c r="T51" s="104">
        <f t="shared" ca="1" si="559"/>
        <v>0.3506540338502353</v>
      </c>
      <c r="U51" s="107">
        <f t="shared" ca="1" si="560"/>
        <v>1634.7749838340787</v>
      </c>
      <c r="V51" s="107">
        <f t="shared" ca="1" si="561"/>
        <v>1593.3242061481005</v>
      </c>
      <c r="W51" s="105">
        <f t="shared" ca="1" si="562"/>
        <v>1599.8181760434004</v>
      </c>
      <c r="X51" s="102">
        <f t="shared" ca="1" si="563"/>
        <v>1762.2923701715345</v>
      </c>
      <c r="Y51" s="102">
        <f t="shared" ca="1" si="564"/>
        <v>1669.8954536412325</v>
      </c>
      <c r="Z51" s="103">
        <f t="shared" ca="1" si="565"/>
        <v>1723.2988435587133</v>
      </c>
      <c r="AA51" s="103">
        <f t="shared" ca="1" si="566"/>
        <v>1695.3155347174302</v>
      </c>
      <c r="AB51" s="103">
        <f t="shared" ca="1" si="567"/>
        <v>54.172565010545512</v>
      </c>
      <c r="AC51" s="4">
        <v>13.3</v>
      </c>
      <c r="AD51" s="273">
        <f t="shared" ca="1" si="568"/>
        <v>12.428981760156656</v>
      </c>
      <c r="AE51" s="3">
        <f t="shared" ca="1" si="569"/>
        <v>118.28938954204411</v>
      </c>
      <c r="AF51" s="3">
        <f t="shared" ca="1" si="570"/>
        <v>214.05878701623939</v>
      </c>
      <c r="AG51" s="2">
        <f t="shared" ca="1" si="571"/>
        <v>552.60235373131491</v>
      </c>
      <c r="AH51" s="2">
        <f t="shared" ca="1" si="572"/>
        <v>138.76947756108117</v>
      </c>
      <c r="AI51" s="87">
        <f t="shared" si="573"/>
        <v>0.40556990272732374</v>
      </c>
      <c r="AJ51" s="87">
        <f t="shared" ca="1" si="574"/>
        <v>2.9590637190932951</v>
      </c>
      <c r="AK51" s="87">
        <f t="shared" ca="1" si="575"/>
        <v>0.28740547458735494</v>
      </c>
      <c r="AL51" s="86">
        <f t="shared" ca="1" si="576"/>
        <v>0.27800183714375443</v>
      </c>
      <c r="AM51" s="87">
        <f t="shared" ca="1" si="577"/>
        <v>0.3506540338502353</v>
      </c>
      <c r="AN51" s="87">
        <f t="shared" ca="1" si="578"/>
        <v>0.35065403385023525</v>
      </c>
      <c r="AO51" s="96">
        <f t="shared" ca="1" si="579"/>
        <v>41.26860487127383</v>
      </c>
      <c r="AP51" s="96">
        <f t="shared" ca="1" si="580"/>
        <v>7.6694371071301459</v>
      </c>
      <c r="AQ51" s="96">
        <f t="shared" ca="1" si="581"/>
        <v>51.06195802159602</v>
      </c>
      <c r="AR51" s="73"/>
      <c r="AS51" s="53">
        <f t="shared" ca="1" si="138"/>
        <v>80.628831227683577</v>
      </c>
      <c r="AT51" s="68">
        <f t="shared" ca="1" si="582"/>
        <v>92.230074424715141</v>
      </c>
      <c r="AU51" s="74">
        <f t="shared" ca="1" si="583"/>
        <v>0.35065403385023525</v>
      </c>
      <c r="AV51" s="68">
        <f t="shared" si="584"/>
        <v>2.1255816298663377</v>
      </c>
      <c r="AW51" s="68">
        <f t="shared" ca="1" si="585"/>
        <v>2.1500084359227314</v>
      </c>
      <c r="AX51" s="69">
        <f t="shared" ca="1" si="586"/>
        <v>1643.5627410322868</v>
      </c>
      <c r="AY51" s="69">
        <f t="shared" ca="1" si="587"/>
        <v>1634.7749838340792</v>
      </c>
      <c r="AZ51" s="69">
        <f t="shared" ca="1" si="588"/>
        <v>1593.3242061481008</v>
      </c>
      <c r="BA51" s="75"/>
      <c r="BB51" s="74">
        <f t="shared" ca="1" si="589"/>
        <v>0.2511199538403579</v>
      </c>
      <c r="BC51" s="74">
        <f t="shared" ca="1" si="590"/>
        <v>1.7640764112773353E-2</v>
      </c>
      <c r="BD51" s="68">
        <f t="shared" si="591"/>
        <v>0.17192168909546618</v>
      </c>
      <c r="BE51" s="68">
        <f t="shared" ca="1" si="592"/>
        <v>0.30894811135603562</v>
      </c>
      <c r="BF51" s="68">
        <f t="shared" ca="1" si="593"/>
        <v>0.23960971141280282</v>
      </c>
      <c r="BH51" s="68">
        <f t="shared" ca="1" si="594"/>
        <v>0.22437691215051309</v>
      </c>
      <c r="BI51" s="68">
        <f t="shared" ca="1" si="595"/>
        <v>0.28400030349712696</v>
      </c>
      <c r="BK51" s="53">
        <f t="shared" ca="1" si="596"/>
        <v>0.61146313532888441</v>
      </c>
      <c r="BL51" s="53">
        <f t="shared" si="597"/>
        <v>0.21939021105667461</v>
      </c>
      <c r="BM51" s="53">
        <f t="shared" si="598"/>
        <v>0.36144779683204076</v>
      </c>
      <c r="BN51" s="53">
        <f t="shared" si="599"/>
        <v>0.36400477927188613</v>
      </c>
      <c r="BO51" s="53">
        <f t="shared" si="600"/>
        <v>0.46759590699535547</v>
      </c>
      <c r="BP51" s="53">
        <f t="shared" si="601"/>
        <v>0.44716400660255484</v>
      </c>
      <c r="BQ51" s="54">
        <f t="shared" si="602"/>
        <v>1468.8863999999999</v>
      </c>
      <c r="BR51" s="262">
        <f t="shared" si="603"/>
        <v>5.737575420844764</v>
      </c>
      <c r="BS51" s="54">
        <f t="shared" si="604"/>
        <v>1714.0949621538475</v>
      </c>
      <c r="BT51" s="67"/>
      <c r="BU51" s="73">
        <f t="shared" si="605"/>
        <v>0.78503777547676823</v>
      </c>
      <c r="BV51" s="73">
        <f t="shared" si="606"/>
        <v>2.0501584659777625E-2</v>
      </c>
      <c r="BW51" s="73">
        <f t="shared" si="607"/>
        <v>0.17635608236431188</v>
      </c>
      <c r="BX51" s="73">
        <f t="shared" si="608"/>
        <v>0.16091827229609085</v>
      </c>
      <c r="BY51" s="73">
        <f t="shared" si="609"/>
        <v>2.5897449051823732E-3</v>
      </c>
      <c r="BZ51" s="73">
        <f t="shared" si="610"/>
        <v>0.53101736972704716</v>
      </c>
      <c r="CA51" s="73">
        <f t="shared" si="611"/>
        <v>0.13083633087879606</v>
      </c>
      <c r="CB51" s="73">
        <f t="shared" si="612"/>
        <v>4.5074937491016515E-2</v>
      </c>
      <c r="CC51" s="73">
        <f t="shared" si="613"/>
        <v>4.3468479111305695E-3</v>
      </c>
      <c r="CD51" s="73">
        <f t="shared" si="614"/>
        <v>1.3158760444766102E-4</v>
      </c>
      <c r="CE51" s="73">
        <f t="shared" si="615"/>
        <v>0</v>
      </c>
      <c r="CF51" s="73">
        <f t="shared" si="616"/>
        <v>1.8568105333145688</v>
      </c>
      <c r="CG51" s="73">
        <f t="shared" si="617"/>
        <v>0.42278830359466313</v>
      </c>
      <c r="CH51" s="73">
        <f t="shared" si="618"/>
        <v>1.1041290585087595E-2</v>
      </c>
      <c r="CI51" s="73">
        <f t="shared" si="619"/>
        <v>9.4977963125565043E-2</v>
      </c>
      <c r="CJ51" s="73">
        <f t="shared" si="620"/>
        <v>8.6663808400977607E-2</v>
      </c>
      <c r="CK51" s="73">
        <f t="shared" si="621"/>
        <v>1.3947276034455992E-3</v>
      </c>
      <c r="CL51" s="73">
        <f t="shared" si="622"/>
        <v>0.28598360478876367</v>
      </c>
      <c r="CM51" s="73">
        <f t="shared" si="623"/>
        <v>7.0462940903960616E-2</v>
      </c>
      <c r="CN51" s="73">
        <f t="shared" si="624"/>
        <v>2.4275464126409182E-2</v>
      </c>
      <c r="CO51" s="73">
        <f t="shared" si="625"/>
        <v>2.3410293259006165E-3</v>
      </c>
      <c r="CP51" s="73">
        <f t="shared" si="626"/>
        <v>7.0867545227011215E-5</v>
      </c>
      <c r="CQ51" s="73">
        <f t="shared" si="627"/>
        <v>0</v>
      </c>
      <c r="CR51" s="73"/>
      <c r="CS51" s="73">
        <f t="shared" ca="1" si="628"/>
        <v>0.68689422222493057</v>
      </c>
      <c r="CT51" s="73">
        <f t="shared" ca="1" si="629"/>
        <v>0.1067423396956179</v>
      </c>
      <c r="CU51" s="73">
        <f t="shared" ca="1" si="630"/>
        <v>1.2670461047542438</v>
      </c>
      <c r="CV51" s="73">
        <f t="shared" ca="1" si="631"/>
        <v>2.0606826666747922</v>
      </c>
      <c r="CW51" s="73">
        <f t="shared" ca="1" si="632"/>
        <v>0.33333333333333326</v>
      </c>
      <c r="CX51" s="73">
        <f t="shared" ca="1" si="633"/>
        <v>5.1799503835232436E-2</v>
      </c>
      <c r="CY51" s="73">
        <f t="shared" ca="1" si="634"/>
        <v>0.61486716283143439</v>
      </c>
      <c r="CZ51" s="73">
        <f t="shared" si="635"/>
        <v>0.44450508169714747</v>
      </c>
      <c r="DA51" s="73">
        <f t="shared" si="636"/>
        <v>0.42278830359466313</v>
      </c>
      <c r="DB51" s="73">
        <f t="shared" si="637"/>
        <v>-0.42700483549369572</v>
      </c>
      <c r="DC51" s="73"/>
      <c r="DD51" s="73">
        <f t="shared" ca="1" si="638"/>
        <v>1643.5627410322868</v>
      </c>
      <c r="DE51" s="73">
        <f t="shared" ca="1" si="639"/>
        <v>15065.589926569981</v>
      </c>
      <c r="DF51" s="73">
        <f t="shared" si="640"/>
        <v>7.8601188399551631</v>
      </c>
      <c r="DG51" s="73">
        <f t="shared" si="641"/>
        <v>1730.6234268157325</v>
      </c>
      <c r="DH51" s="73">
        <f t="shared" si="642"/>
        <v>1457.4734268157326</v>
      </c>
      <c r="DI51" s="73">
        <f t="shared" si="449"/>
        <v>13602.905801982104</v>
      </c>
      <c r="DJ51" s="73">
        <f t="shared" si="643"/>
        <v>7.8601188399551631</v>
      </c>
      <c r="DK51" s="73">
        <f t="shared" si="644"/>
        <v>1730.6234268157325</v>
      </c>
      <c r="DL51" s="73">
        <f t="shared" ca="1" si="645"/>
        <v>2.9590637190932951</v>
      </c>
      <c r="DM51" s="73">
        <f t="shared" si="646"/>
        <v>-0.42700483549369572</v>
      </c>
      <c r="DN51" s="73">
        <f t="shared" si="647"/>
        <v>0.44450508169714747</v>
      </c>
      <c r="DO51" s="73">
        <f t="shared" si="648"/>
        <v>0.42278830359466313</v>
      </c>
      <c r="DP51" s="73">
        <f t="shared" si="649"/>
        <v>2.1255816298663377</v>
      </c>
      <c r="DQ51" s="73">
        <f t="shared" ca="1" si="650"/>
        <v>15065.665196347811</v>
      </c>
      <c r="DR51" s="73">
        <f t="shared" si="651"/>
        <v>7.8598956127830277</v>
      </c>
      <c r="DS51" s="73">
        <f t="shared" ca="1" si="652"/>
        <v>1643.6267536054297</v>
      </c>
      <c r="DT51" s="73">
        <f t="shared" si="653"/>
        <v>1457.5408513996708</v>
      </c>
      <c r="DU51" s="73">
        <f t="shared" ca="1" si="654"/>
        <v>1599.8181760434004</v>
      </c>
      <c r="DV51" s="76">
        <f t="shared" ca="1" si="655"/>
        <v>2.1500084359227314</v>
      </c>
      <c r="DW51" s="73">
        <f t="shared" ca="1" si="656"/>
        <v>2.8415494731669426</v>
      </c>
      <c r="DX51" s="73">
        <f t="shared" ca="1" si="657"/>
        <v>4593.0148202848495</v>
      </c>
      <c r="DY51" s="73">
        <f t="shared" ca="1" si="658"/>
        <v>1616.3768618696181</v>
      </c>
      <c r="DZ51" s="73">
        <f t="shared" ca="1" si="659"/>
        <v>3.3065773149644304</v>
      </c>
      <c r="EA51" s="73"/>
      <c r="EB51" s="73">
        <f t="shared" si="660"/>
        <v>0.78503777547676823</v>
      </c>
      <c r="EC51" s="73">
        <f t="shared" si="661"/>
        <v>2.0501584659777625E-2</v>
      </c>
      <c r="ED51" s="73">
        <f t="shared" si="662"/>
        <v>8.8178041182155942E-2</v>
      </c>
      <c r="EE51" s="73">
        <f t="shared" si="663"/>
        <v>0.16091827229609085</v>
      </c>
      <c r="EF51" s="73">
        <f t="shared" si="664"/>
        <v>2.5897449051823732E-3</v>
      </c>
      <c r="EG51" s="73">
        <f t="shared" si="665"/>
        <v>0.53101736972704716</v>
      </c>
      <c r="EH51" s="73">
        <f t="shared" si="666"/>
        <v>0.13083633087879606</v>
      </c>
      <c r="EI51" s="73">
        <f t="shared" si="667"/>
        <v>2.2537468745508257E-2</v>
      </c>
      <c r="EJ51" s="73">
        <f t="shared" si="668"/>
        <v>2.1734239555652847E-3</v>
      </c>
      <c r="EK51" s="73">
        <f t="shared" si="669"/>
        <v>6.5793802223830508E-5</v>
      </c>
      <c r="EL51" s="73">
        <f t="shared" si="670"/>
        <v>0</v>
      </c>
      <c r="EM51" s="73">
        <f t="shared" si="671"/>
        <v>1.7438558056291156</v>
      </c>
      <c r="EN51" s="73">
        <f t="shared" si="672"/>
        <v>0.45017355961581756</v>
      </c>
      <c r="EO51" s="73">
        <f t="shared" si="673"/>
        <v>1.175646781895562E-2</v>
      </c>
      <c r="EP51" s="73">
        <f t="shared" si="674"/>
        <v>5.0564984156098114E-2</v>
      </c>
      <c r="EQ51" s="73">
        <f t="shared" si="675"/>
        <v>9.2277281055378191E-2</v>
      </c>
      <c r="ER51" s="73">
        <f t="shared" si="676"/>
        <v>1.4850682589826248E-3</v>
      </c>
      <c r="ES51" s="73">
        <f t="shared" si="677"/>
        <v>0.30450761353830896</v>
      </c>
      <c r="ET51" s="73">
        <f t="shared" si="678"/>
        <v>7.5027035180580987E-2</v>
      </c>
      <c r="EU51" s="73">
        <f t="shared" si="679"/>
        <v>1.2923929073010491E-2</v>
      </c>
      <c r="EV51" s="73">
        <f t="shared" si="680"/>
        <v>1.2463323794028932E-3</v>
      </c>
      <c r="EW51" s="73">
        <f t="shared" si="681"/>
        <v>3.7728923464572032E-5</v>
      </c>
      <c r="EX51" s="73">
        <f t="shared" si="682"/>
        <v>0</v>
      </c>
      <c r="EY51" s="73">
        <f t="shared" si="683"/>
        <v>1</v>
      </c>
      <c r="EZ51" s="73">
        <f t="shared" si="684"/>
        <v>9.4977963125565043E-2</v>
      </c>
      <c r="FA51" s="73">
        <f t="shared" si="685"/>
        <v>0.5288075573053157</v>
      </c>
      <c r="FB51" s="73">
        <f t="shared" si="686"/>
        <v>1.468045762788992</v>
      </c>
      <c r="FC51" s="73">
        <f t="shared" si="687"/>
        <v>0.82086129635672123</v>
      </c>
      <c r="FD51" s="73">
        <f t="shared" si="688"/>
        <v>1.5522873775474118</v>
      </c>
      <c r="FE51" s="73">
        <f t="shared" ca="1" si="689"/>
        <v>0.13066855502273605</v>
      </c>
      <c r="FF51" s="73">
        <f t="shared" ca="1" si="690"/>
        <v>9.5594895931496657E-3</v>
      </c>
      <c r="FG51" s="73">
        <f t="shared" ca="1" si="691"/>
        <v>7.3158301869078859E-2</v>
      </c>
      <c r="FH51" s="73">
        <f t="shared" ca="1" si="692"/>
        <v>0.24025114189755747</v>
      </c>
      <c r="FI51" s="73">
        <f t="shared" ca="1" si="693"/>
        <v>8.4245032043503768E-2</v>
      </c>
      <c r="FJ51" s="73">
        <f t="shared" ca="1" si="694"/>
        <v>0.35065403385023514</v>
      </c>
      <c r="FK51" s="73">
        <f t="shared" ca="1" si="695"/>
        <v>8.4245032043503768E-2</v>
      </c>
      <c r="FL51" s="73">
        <f t="shared" ca="1" si="696"/>
        <v>8.4245032043503809E-2</v>
      </c>
      <c r="FM51" s="73"/>
      <c r="FN51" s="73"/>
      <c r="FO51" s="73"/>
      <c r="FP51" s="73">
        <f t="shared" ca="1" si="697"/>
        <v>1.8446014884943027</v>
      </c>
      <c r="FQ51" s="73">
        <f t="shared" ca="1" si="698"/>
        <v>0.15539851150569728</v>
      </c>
      <c r="FR51" s="73">
        <f t="shared" si="479"/>
        <v>0.33333333333333331</v>
      </c>
      <c r="FS51" s="73">
        <f t="shared" ca="1" si="699"/>
        <v>5.1799503835232429E-2</v>
      </c>
      <c r="FT51" s="73">
        <f t="shared" ca="1" si="700"/>
        <v>0.61486716283143428</v>
      </c>
      <c r="FU51" s="73">
        <f t="shared" si="701"/>
        <v>20.026666666666664</v>
      </c>
      <c r="FV51" s="73">
        <f t="shared" ca="1" si="702"/>
        <v>3.7217943505614497</v>
      </c>
      <c r="FW51" s="73">
        <f t="shared" ca="1" si="703"/>
        <v>24.7791466621068</v>
      </c>
      <c r="FX51" s="73">
        <f t="shared" ca="1" si="704"/>
        <v>48.527607679334913</v>
      </c>
      <c r="FY51" s="73">
        <f t="shared" ca="1" si="705"/>
        <v>41.26860487127383</v>
      </c>
      <c r="FZ51" s="73">
        <f t="shared" ca="1" si="706"/>
        <v>7.6694371071301459</v>
      </c>
      <c r="GA51" s="73">
        <f t="shared" ca="1" si="707"/>
        <v>51.06195802159602</v>
      </c>
      <c r="GB51" s="73">
        <f t="shared" ca="1" si="708"/>
        <v>92.230074424715127</v>
      </c>
      <c r="GC51" s="73">
        <f t="shared" ca="1" si="709"/>
        <v>2959063719.0932951</v>
      </c>
      <c r="GD51" s="2">
        <f t="shared" si="152"/>
        <v>38</v>
      </c>
      <c r="GE51">
        <f t="shared" ca="1" si="710"/>
        <v>1468.9070410417248</v>
      </c>
      <c r="GF51">
        <f t="shared" ca="1" si="711"/>
        <v>1468.5686477574877</v>
      </c>
      <c r="GG51">
        <f t="shared" ca="1" si="712"/>
        <v>1822.6247396838262</v>
      </c>
      <c r="GH51" s="2">
        <f t="shared" ca="1" si="713"/>
        <v>0.4694350411323252</v>
      </c>
      <c r="GI51" s="2">
        <f t="shared" ca="1" si="714"/>
        <v>1.3013627568338246</v>
      </c>
      <c r="GJ51" s="2">
        <f t="shared" ca="1" si="715"/>
        <v>-1.7814155526786355</v>
      </c>
      <c r="GK51" s="2">
        <f t="shared" ca="1" si="716"/>
        <v>1.4860937321257168</v>
      </c>
      <c r="GL51" s="2">
        <f t="shared" ca="1" si="717"/>
        <v>-0.4694350411323252</v>
      </c>
      <c r="GM51">
        <f t="shared" ca="1" si="718"/>
        <v>0.39957451632396668</v>
      </c>
      <c r="GN51">
        <f t="shared" ca="1" si="719"/>
        <v>6.3795985002106287E-2</v>
      </c>
      <c r="GO51">
        <f t="shared" ca="1" si="720"/>
        <v>-0.17495242153403767</v>
      </c>
      <c r="GP51">
        <f t="shared" ca="1" si="721"/>
        <v>-0.15794260852605935</v>
      </c>
      <c r="GQ51">
        <f t="shared" ca="1" si="722"/>
        <v>0.2918978636635407</v>
      </c>
      <c r="GR51">
        <f t="shared" ca="1" si="723"/>
        <v>0.15965979409553194</v>
      </c>
      <c r="GS51">
        <f t="shared" ca="1" si="724"/>
        <v>4.6786171994127962E-2</v>
      </c>
      <c r="GT51">
        <f t="shared" ca="1" si="725"/>
        <v>2.3124348300912595E-3</v>
      </c>
      <c r="GU51">
        <f t="shared" ca="1" si="726"/>
        <v>0.48470843964675009</v>
      </c>
      <c r="GV51">
        <f t="shared" ca="1" si="727"/>
        <v>-0.27281982064183236</v>
      </c>
      <c r="GW51">
        <f t="shared" ca="1" si="728"/>
        <v>0.61146313532888441</v>
      </c>
      <c r="GY51" s="15">
        <f t="shared" si="729"/>
        <v>0.20183455470596262</v>
      </c>
      <c r="GZ51" s="2">
        <f t="shared" si="730"/>
        <v>6.2359180898518302E-2</v>
      </c>
      <c r="HA51" s="2">
        <f t="shared" si="731"/>
        <v>7.4424881659798381E-2</v>
      </c>
      <c r="HB51" s="2">
        <f t="shared" si="732"/>
        <v>0.33861861726427928</v>
      </c>
      <c r="HC51" s="2">
        <f t="shared" si="733"/>
        <v>0.59605274020842813</v>
      </c>
      <c r="HD51" s="2">
        <f t="shared" si="734"/>
        <v>0.18415756759720411</v>
      </c>
      <c r="HE51" s="2">
        <f t="shared" si="735"/>
        <v>0.21978969219436781</v>
      </c>
      <c r="HF51" s="2">
        <f t="shared" si="736"/>
        <v>-1.3129312324249685</v>
      </c>
      <c r="HG51" s="2">
        <f t="shared" si="737"/>
        <v>-1.3120200666482269</v>
      </c>
      <c r="HH51" s="2">
        <f t="shared" si="738"/>
        <v>-1.3124756495365977</v>
      </c>
      <c r="HI51" s="2">
        <f t="shared" si="739"/>
        <v>2.5005808815430459</v>
      </c>
      <c r="HJ51" s="2">
        <f t="shared" si="740"/>
        <v>0.1726129813253125</v>
      </c>
      <c r="HK51" s="2">
        <f t="shared" si="741"/>
        <v>0.34667134247532533</v>
      </c>
      <c r="HL51" s="2">
        <f t="shared" si="742"/>
        <v>0.69365294537041333</v>
      </c>
    </row>
    <row r="52" spans="1:220" ht="20.25">
      <c r="A52" s="296" t="s">
        <v>322</v>
      </c>
      <c r="B52" s="77">
        <v>3500</v>
      </c>
      <c r="C52" s="95">
        <f t="shared" ca="1" si="554"/>
        <v>-4.0605391670396793</v>
      </c>
      <c r="D52" s="70">
        <f t="shared" ca="1" si="555"/>
        <v>-4.0381579219650092</v>
      </c>
      <c r="E52" s="71">
        <f t="shared" ca="1" si="556"/>
        <v>-4.0605391670396793</v>
      </c>
      <c r="F52" s="296">
        <v>47.231448301077975</v>
      </c>
      <c r="G52" s="296">
        <v>0.71881653346069019</v>
      </c>
      <c r="H52" s="296">
        <v>12.317363542801209</v>
      </c>
      <c r="I52" s="296">
        <v>9.33868085575455</v>
      </c>
      <c r="J52" s="296">
        <v>0.16356675874663054</v>
      </c>
      <c r="K52" s="296">
        <v>18.2</v>
      </c>
      <c r="L52" s="296">
        <v>10.52761512200407</v>
      </c>
      <c r="M52" s="296">
        <v>1.3986110668587941</v>
      </c>
      <c r="N52" s="296">
        <v>9.7784449362742873E-2</v>
      </c>
      <c r="O52" s="328">
        <v>0.01</v>
      </c>
      <c r="P52" s="329"/>
      <c r="Q52" s="84"/>
      <c r="R52" s="72">
        <f t="shared" si="557"/>
        <v>100.00388663006666</v>
      </c>
      <c r="S52" s="106">
        <f t="shared" ca="1" si="558"/>
        <v>2.4338398029362835</v>
      </c>
      <c r="T52" s="104">
        <f t="shared" ca="1" si="559"/>
        <v>0.34673650974281384</v>
      </c>
      <c r="U52" s="107">
        <f t="shared" ca="1" si="560"/>
        <v>1537.5130032772026</v>
      </c>
      <c r="V52" s="107">
        <f t="shared" ca="1" si="561"/>
        <v>1509.5032329203764</v>
      </c>
      <c r="W52" s="105">
        <f t="shared" ca="1" si="562"/>
        <v>1513.8819291354325</v>
      </c>
      <c r="X52" s="102">
        <f t="shared" ca="1" si="563"/>
        <v>1677.8486083283806</v>
      </c>
      <c r="Y52" s="102">
        <f t="shared" ca="1" si="564"/>
        <v>1597.4455434693064</v>
      </c>
      <c r="Z52" s="103">
        <f t="shared" ca="1" si="565"/>
        <v>1627.9271892618392</v>
      </c>
      <c r="AA52" s="103">
        <f t="shared" ca="1" si="566"/>
        <v>1598.6914658287731</v>
      </c>
      <c r="AB52" s="103">
        <f t="shared" ca="1" si="567"/>
        <v>50.023822322468803</v>
      </c>
      <c r="AC52" s="4">
        <v>13.3</v>
      </c>
      <c r="AD52" s="273">
        <f t="shared" ca="1" si="568"/>
        <v>11.809110314892276</v>
      </c>
      <c r="AE52" s="3">
        <f t="shared" ca="1" si="569"/>
        <v>112.55728267940131</v>
      </c>
      <c r="AF52" s="3">
        <f t="shared" ca="1" si="570"/>
        <v>213.4427091558114</v>
      </c>
      <c r="AG52" s="2">
        <f t="shared" ca="1" si="571"/>
        <v>527.34189480904422</v>
      </c>
      <c r="AH52" s="2">
        <f t="shared" ca="1" si="572"/>
        <v>117.92971563004664</v>
      </c>
      <c r="AI52" s="87">
        <f t="shared" si="573"/>
        <v>0.36725627508007658</v>
      </c>
      <c r="AJ52" s="87">
        <f t="shared" ca="1" si="574"/>
        <v>2.4338398029362778</v>
      </c>
      <c r="AK52" s="87">
        <f t="shared" ca="1" si="575"/>
        <v>0.28589623247297419</v>
      </c>
      <c r="AL52" s="86">
        <f t="shared" ca="1" si="576"/>
        <v>0.27698911972172624</v>
      </c>
      <c r="AM52" s="87">
        <f t="shared" ca="1" si="577"/>
        <v>0.34673650974281384</v>
      </c>
      <c r="AN52" s="87">
        <f t="shared" ca="1" si="578"/>
        <v>0.34673650974281384</v>
      </c>
      <c r="AO52" s="96">
        <f t="shared" ca="1" si="579"/>
        <v>41.337894099031608</v>
      </c>
      <c r="AP52" s="96">
        <f t="shared" ca="1" si="580"/>
        <v>7.2999531675412799</v>
      </c>
      <c r="AQ52" s="96">
        <f t="shared" ca="1" si="581"/>
        <v>51.362152733427116</v>
      </c>
      <c r="AR52" s="73"/>
      <c r="AS52" s="53">
        <f t="shared" ca="1" si="138"/>
        <v>81.306842952139164</v>
      </c>
      <c r="AT52" s="68">
        <f t="shared" ca="1" si="582"/>
        <v>92.616795775606221</v>
      </c>
      <c r="AU52" s="74">
        <f t="shared" ca="1" si="583"/>
        <v>0.34673650974281384</v>
      </c>
      <c r="AV52" s="68">
        <f t="shared" si="584"/>
        <v>2.5098228463931522</v>
      </c>
      <c r="AW52" s="68">
        <f t="shared" ca="1" si="585"/>
        <v>2.5371241899599468</v>
      </c>
      <c r="AX52" s="69">
        <f t="shared" ca="1" si="586"/>
        <v>1541.7039120378058</v>
      </c>
      <c r="AY52" s="69">
        <f t="shared" ca="1" si="587"/>
        <v>1537.5130032772026</v>
      </c>
      <c r="AZ52" s="69">
        <f t="shared" ca="1" si="588"/>
        <v>1509.5032329203764</v>
      </c>
      <c r="BA52" s="75"/>
      <c r="BB52" s="74">
        <f t="shared" ca="1" si="589"/>
        <v>0.22363046970267775</v>
      </c>
      <c r="BC52" s="74">
        <f t="shared" ca="1" si="590"/>
        <v>5.1491751026436446E-2</v>
      </c>
      <c r="BD52" s="68">
        <f t="shared" si="591"/>
        <v>0.19358680659522318</v>
      </c>
      <c r="BE52" s="68">
        <f t="shared" ca="1" si="592"/>
        <v>0.29766490402944806</v>
      </c>
      <c r="BF52" s="68">
        <f t="shared" ca="1" si="593"/>
        <v>0.17842559680851702</v>
      </c>
      <c r="BH52" s="68">
        <f t="shared" ca="1" si="594"/>
        <v>0.18726834154413147</v>
      </c>
      <c r="BI52" s="68">
        <f t="shared" ca="1" si="595"/>
        <v>0.2248445713775232</v>
      </c>
      <c r="BK52" s="53">
        <f t="shared" ca="1" si="596"/>
        <v>0.35119613903072661</v>
      </c>
      <c r="BL52" s="53">
        <f t="shared" si="597"/>
        <v>0.27901709930142243</v>
      </c>
      <c r="BM52" s="53">
        <f t="shared" si="598"/>
        <v>0.44808668171754301</v>
      </c>
      <c r="BN52" s="53">
        <f t="shared" si="599"/>
        <v>0.27915019770213223</v>
      </c>
      <c r="BO52" s="53">
        <f t="shared" si="600"/>
        <v>0.24176456884659986</v>
      </c>
      <c r="BP52" s="53">
        <f t="shared" si="601"/>
        <v>0.24713434223470987</v>
      </c>
      <c r="BQ52" s="54">
        <f t="shared" si="602"/>
        <v>1411.0816</v>
      </c>
      <c r="BR52" s="262">
        <f t="shared" si="603"/>
        <v>3.8622919282997032</v>
      </c>
      <c r="BS52" s="54">
        <f t="shared" si="604"/>
        <v>1591.4743544928476</v>
      </c>
      <c r="BT52" s="67"/>
      <c r="BU52" s="73">
        <f t="shared" si="605"/>
        <v>0.78614261486481318</v>
      </c>
      <c r="BV52" s="73">
        <f t="shared" si="606"/>
        <v>8.9964522335505646E-3</v>
      </c>
      <c r="BW52" s="73">
        <f t="shared" si="607"/>
        <v>0.24161168189096136</v>
      </c>
      <c r="BX52" s="73">
        <f t="shared" si="608"/>
        <v>0.12997468136053655</v>
      </c>
      <c r="BY52" s="73">
        <f t="shared" si="609"/>
        <v>2.3057056490926211E-3</v>
      </c>
      <c r="BZ52" s="73">
        <f t="shared" si="610"/>
        <v>0.45161290322580644</v>
      </c>
      <c r="CA52" s="73">
        <f t="shared" si="611"/>
        <v>0.18772494868052908</v>
      </c>
      <c r="CB52" s="73">
        <f t="shared" si="612"/>
        <v>4.5131044429131788E-2</v>
      </c>
      <c r="CC52" s="73">
        <f t="shared" si="613"/>
        <v>2.0761029588692755E-3</v>
      </c>
      <c r="CD52" s="73">
        <f t="shared" si="614"/>
        <v>1.3158760444766102E-4</v>
      </c>
      <c r="CE52" s="73">
        <f t="shared" si="615"/>
        <v>0</v>
      </c>
      <c r="CF52" s="73">
        <f t="shared" si="616"/>
        <v>1.8557077228977383</v>
      </c>
      <c r="CG52" s="73">
        <f t="shared" si="617"/>
        <v>0.42363493192625723</v>
      </c>
      <c r="CH52" s="73">
        <f t="shared" si="618"/>
        <v>4.8479898652910485E-3</v>
      </c>
      <c r="CI52" s="73">
        <f t="shared" si="619"/>
        <v>0.13019921128187045</v>
      </c>
      <c r="CJ52" s="73">
        <f t="shared" si="620"/>
        <v>7.0040491698540513E-2</v>
      </c>
      <c r="CK52" s="73">
        <f t="shared" si="621"/>
        <v>1.2424939663947718E-3</v>
      </c>
      <c r="CL52" s="73">
        <f t="shared" si="622"/>
        <v>0.24336424192954295</v>
      </c>
      <c r="CM52" s="73">
        <f t="shared" si="623"/>
        <v>0.10116083818813419</v>
      </c>
      <c r="CN52" s="73">
        <f t="shared" si="624"/>
        <v>2.4320125347464971E-2</v>
      </c>
      <c r="CO52" s="73">
        <f t="shared" si="625"/>
        <v>1.1187661360957124E-3</v>
      </c>
      <c r="CP52" s="73">
        <f t="shared" si="626"/>
        <v>7.0909660408258348E-5</v>
      </c>
      <c r="CQ52" s="73">
        <f t="shared" si="627"/>
        <v>0</v>
      </c>
      <c r="CR52" s="73"/>
      <c r="CS52" s="73">
        <f t="shared" ca="1" si="628"/>
        <v>0.68804750497722389</v>
      </c>
      <c r="CT52" s="73">
        <f t="shared" ca="1" si="629"/>
        <v>0.10159990490662882</v>
      </c>
      <c r="CU52" s="73">
        <f t="shared" ca="1" si="630"/>
        <v>1.2744951050478193</v>
      </c>
      <c r="CV52" s="73">
        <f t="shared" ca="1" si="631"/>
        <v>2.0641425149316719</v>
      </c>
      <c r="CW52" s="73">
        <f t="shared" ca="1" si="632"/>
        <v>0.33333333333333331</v>
      </c>
      <c r="CX52" s="73">
        <f t="shared" ca="1" si="633"/>
        <v>4.9221361495958536E-2</v>
      </c>
      <c r="CY52" s="73">
        <f t="shared" ca="1" si="634"/>
        <v>0.61744530517070817</v>
      </c>
      <c r="CZ52" s="73">
        <f t="shared" si="635"/>
        <v>0.41580806578261242</v>
      </c>
      <c r="DA52" s="73">
        <f t="shared" si="636"/>
        <v>0.42363493192625723</v>
      </c>
      <c r="DB52" s="73">
        <f t="shared" si="637"/>
        <v>-0.522237208545972</v>
      </c>
      <c r="DC52" s="73"/>
      <c r="DD52" s="73">
        <f t="shared" ca="1" si="638"/>
        <v>1541.7039120378058</v>
      </c>
      <c r="DE52" s="73">
        <f t="shared" ca="1" si="639"/>
        <v>14805.959611044469</v>
      </c>
      <c r="DF52" s="73">
        <f t="shared" si="640"/>
        <v>8.1582101528048732</v>
      </c>
      <c r="DG52" s="73">
        <f t="shared" si="641"/>
        <v>1667.3885015459293</v>
      </c>
      <c r="DH52" s="73">
        <f t="shared" si="642"/>
        <v>1394.2385015459295</v>
      </c>
      <c r="DI52" s="73">
        <f t="shared" si="449"/>
        <v>13602.905801982104</v>
      </c>
      <c r="DJ52" s="73">
        <f t="shared" si="643"/>
        <v>8.1582101528048732</v>
      </c>
      <c r="DK52" s="73">
        <f t="shared" si="644"/>
        <v>1667.3885015459293</v>
      </c>
      <c r="DL52" s="73">
        <f t="shared" ca="1" si="645"/>
        <v>2.4338398029362835</v>
      </c>
      <c r="DM52" s="73">
        <f t="shared" si="646"/>
        <v>-0.522237208545972</v>
      </c>
      <c r="DN52" s="73">
        <f t="shared" si="647"/>
        <v>0.41580806578261242</v>
      </c>
      <c r="DO52" s="73">
        <f t="shared" si="648"/>
        <v>0.42363493192625723</v>
      </c>
      <c r="DP52" s="73">
        <f t="shared" si="649"/>
        <v>2.5098228463931522</v>
      </c>
      <c r="DQ52" s="73">
        <f t="shared" ca="1" si="650"/>
        <v>14806.047014591401</v>
      </c>
      <c r="DR52" s="73">
        <f t="shared" si="651"/>
        <v>8.1579869256327378</v>
      </c>
      <c r="DS52" s="73">
        <f t="shared" ca="1" si="652"/>
        <v>1541.7642857866294</v>
      </c>
      <c r="DT52" s="73">
        <f t="shared" si="653"/>
        <v>1394.3017321495872</v>
      </c>
      <c r="DU52" s="73">
        <f t="shared" ca="1" si="654"/>
        <v>1513.8819291354325</v>
      </c>
      <c r="DV52" s="76">
        <f t="shared" ca="1" si="655"/>
        <v>2.5371241899599468</v>
      </c>
      <c r="DW52" s="73">
        <f t="shared" ca="1" si="656"/>
        <v>3.0124906002660801</v>
      </c>
      <c r="DX52" s="73">
        <f t="shared" ca="1" si="657"/>
        <v>4564.0802347437602</v>
      </c>
      <c r="DY52" s="73">
        <f t="shared" ca="1" si="658"/>
        <v>1515.0521081594861</v>
      </c>
      <c r="DZ52" s="73">
        <f t="shared" ca="1" si="659"/>
        <v>3.8980359863279204</v>
      </c>
      <c r="EA52" s="73"/>
      <c r="EB52" s="73">
        <f t="shared" si="660"/>
        <v>0.78614261486481318</v>
      </c>
      <c r="EC52" s="73">
        <f t="shared" si="661"/>
        <v>8.9964522335505646E-3</v>
      </c>
      <c r="ED52" s="73">
        <f t="shared" si="662"/>
        <v>0.12080584094548068</v>
      </c>
      <c r="EE52" s="73">
        <f t="shared" si="663"/>
        <v>0.12997468136053655</v>
      </c>
      <c r="EF52" s="73">
        <f t="shared" si="664"/>
        <v>2.3057056490926211E-3</v>
      </c>
      <c r="EG52" s="73">
        <f t="shared" si="665"/>
        <v>0.45161290322580644</v>
      </c>
      <c r="EH52" s="73">
        <f t="shared" si="666"/>
        <v>0.18772494868052908</v>
      </c>
      <c r="EI52" s="73">
        <f t="shared" si="667"/>
        <v>2.2565522214565894E-2</v>
      </c>
      <c r="EJ52" s="73">
        <f t="shared" si="668"/>
        <v>1.0380514794346377E-3</v>
      </c>
      <c r="EK52" s="73">
        <f t="shared" si="669"/>
        <v>6.5793802223830508E-5</v>
      </c>
      <c r="EL52" s="73">
        <f t="shared" si="670"/>
        <v>0</v>
      </c>
      <c r="EM52" s="73">
        <f t="shared" si="671"/>
        <v>1.7112325144560336</v>
      </c>
      <c r="EN52" s="73">
        <f t="shared" si="672"/>
        <v>0.45940140116769118</v>
      </c>
      <c r="EO52" s="73">
        <f t="shared" si="673"/>
        <v>5.2572938847006163E-3</v>
      </c>
      <c r="EP52" s="73">
        <f t="shared" si="674"/>
        <v>7.059580736395861E-2</v>
      </c>
      <c r="EQ52" s="73">
        <f t="shared" si="675"/>
        <v>7.5953840441053619E-2</v>
      </c>
      <c r="ER52" s="73">
        <f t="shared" si="676"/>
        <v>1.3473947167405001E-3</v>
      </c>
      <c r="ES52" s="73">
        <f t="shared" si="677"/>
        <v>0.26391089428859121</v>
      </c>
      <c r="ET52" s="73">
        <f t="shared" si="678"/>
        <v>0.10970160226309343</v>
      </c>
      <c r="EU52" s="73">
        <f t="shared" si="679"/>
        <v>1.3186707255699275E-2</v>
      </c>
      <c r="EV52" s="73">
        <f t="shared" si="680"/>
        <v>6.0661042299363593E-4</v>
      </c>
      <c r="EW52" s="73">
        <f t="shared" si="681"/>
        <v>3.8448195477833724E-5</v>
      </c>
      <c r="EX52" s="73">
        <f t="shared" si="682"/>
        <v>0</v>
      </c>
      <c r="EY52" s="73">
        <f t="shared" si="683"/>
        <v>0.99999999999999978</v>
      </c>
      <c r="EZ52" s="73">
        <f t="shared" si="684"/>
        <v>0.13019921128187045</v>
      </c>
      <c r="FA52" s="73">
        <f t="shared" si="685"/>
        <v>0.55868213307341874</v>
      </c>
      <c r="FB52" s="73">
        <f t="shared" si="686"/>
        <v>1.4808985365209073</v>
      </c>
      <c r="FC52" s="73">
        <f t="shared" si="687"/>
        <v>0.72706854074813965</v>
      </c>
      <c r="FD52" s="73">
        <f t="shared" si="688"/>
        <v>1.3013993068802732</v>
      </c>
      <c r="FE52" s="73">
        <f t="shared" ca="1" si="689"/>
        <v>0.12590276125495173</v>
      </c>
      <c r="FF52" s="73">
        <f t="shared" ca="1" si="690"/>
        <v>7.6392043871743006E-3</v>
      </c>
      <c r="FG52" s="73">
        <f t="shared" ca="1" si="691"/>
        <v>6.0675431666705019E-2</v>
      </c>
      <c r="FH52" s="73">
        <f t="shared" ca="1" si="692"/>
        <v>0.2299087797427391</v>
      </c>
      <c r="FI52" s="73">
        <f t="shared" ca="1" si="693"/>
        <v>7.9717767847226673E-2</v>
      </c>
      <c r="FJ52" s="73">
        <f t="shared" ca="1" si="694"/>
        <v>0.34673650974281373</v>
      </c>
      <c r="FK52" s="73">
        <f t="shared" ca="1" si="695"/>
        <v>7.9717767847226673E-2</v>
      </c>
      <c r="FL52" s="73">
        <f t="shared" ca="1" si="696"/>
        <v>7.97177678472267E-2</v>
      </c>
      <c r="FM52" s="73"/>
      <c r="FN52" s="73"/>
      <c r="FO52" s="73"/>
      <c r="FP52" s="73">
        <f t="shared" ca="1" si="697"/>
        <v>1.8523359155121244</v>
      </c>
      <c r="FQ52" s="73">
        <f t="shared" ca="1" si="698"/>
        <v>0.1476640844878756</v>
      </c>
      <c r="FR52" s="73">
        <f t="shared" si="479"/>
        <v>0.33333333333333331</v>
      </c>
      <c r="FS52" s="73">
        <f t="shared" ca="1" si="699"/>
        <v>4.9221361495958536E-2</v>
      </c>
      <c r="FT52" s="73">
        <f t="shared" ca="1" si="700"/>
        <v>0.61744530517070817</v>
      </c>
      <c r="FU52" s="73">
        <f t="shared" si="701"/>
        <v>20.026666666666664</v>
      </c>
      <c r="FV52" s="73">
        <f t="shared" ca="1" si="702"/>
        <v>3.5365548234846207</v>
      </c>
      <c r="FW52" s="73">
        <f t="shared" ca="1" si="703"/>
        <v>24.883045798379538</v>
      </c>
      <c r="FX52" s="73">
        <f t="shared" ca="1" si="704"/>
        <v>48.446267288530819</v>
      </c>
      <c r="FY52" s="73">
        <f t="shared" ca="1" si="705"/>
        <v>41.337894099031608</v>
      </c>
      <c r="FZ52" s="73">
        <f t="shared" ca="1" si="706"/>
        <v>7.2999531675412799</v>
      </c>
      <c r="GA52" s="73">
        <f t="shared" ca="1" si="707"/>
        <v>51.362152733427116</v>
      </c>
      <c r="GB52" s="73">
        <f t="shared" ca="1" si="708"/>
        <v>92.616795775606235</v>
      </c>
      <c r="GC52" s="73">
        <f t="shared" ca="1" si="709"/>
        <v>2433839802.9362836</v>
      </c>
      <c r="GD52" s="2">
        <f t="shared" si="152"/>
        <v>38</v>
      </c>
      <c r="GE52">
        <f t="shared" ca="1" si="710"/>
        <v>1413.6655767462748</v>
      </c>
      <c r="GF52">
        <f t="shared" ca="1" si="711"/>
        <v>1413.2233769550664</v>
      </c>
      <c r="GG52">
        <f t="shared" ca="1" si="712"/>
        <v>1793.8905499366142</v>
      </c>
      <c r="GH52" s="2">
        <f t="shared" ca="1" si="713"/>
        <v>0.32650471368110573</v>
      </c>
      <c r="GI52" s="2">
        <f t="shared" ca="1" si="714"/>
        <v>1.4599803795132422</v>
      </c>
      <c r="GJ52" s="2">
        <f t="shared" ca="1" si="715"/>
        <v>-2.0818436327204459</v>
      </c>
      <c r="GK52" s="2">
        <f t="shared" ca="1" si="716"/>
        <v>1.6284294134042669</v>
      </c>
      <c r="GL52" s="2">
        <f t="shared" ca="1" si="717"/>
        <v>-0.32650471368110573</v>
      </c>
      <c r="GM52">
        <f t="shared" ca="1" si="718"/>
        <v>0.42614550674491253</v>
      </c>
      <c r="GN52">
        <f t="shared" ca="1" si="719"/>
        <v>7.7388021007287908E-2</v>
      </c>
      <c r="GO52">
        <f t="shared" ca="1" si="720"/>
        <v>-0.19103194573372781</v>
      </c>
      <c r="GP52">
        <f t="shared" ca="1" si="721"/>
        <v>-0.10025141740670863</v>
      </c>
      <c r="GQ52">
        <f t="shared" ca="1" si="722"/>
        <v>0.29885245408767247</v>
      </c>
      <c r="GR52">
        <f t="shared" ca="1" si="723"/>
        <v>0.18159999291887827</v>
      </c>
      <c r="GS52">
        <f t="shared" ca="1" si="724"/>
        <v>-1.3392507319731267E-2</v>
      </c>
      <c r="GT52">
        <f t="shared" ca="1" si="725"/>
        <v>1.6120032104711525E-3</v>
      </c>
      <c r="GU52">
        <f t="shared" ca="1" si="726"/>
        <v>0.30699129864188163</v>
      </c>
      <c r="GV52">
        <f t="shared" ca="1" si="727"/>
        <v>-0.38194066635606566</v>
      </c>
      <c r="GW52">
        <f t="shared" ca="1" si="728"/>
        <v>0.35119613903072849</v>
      </c>
      <c r="GY52" s="15">
        <f t="shared" si="729"/>
        <v>0.15418480983954638</v>
      </c>
      <c r="GZ52" s="2">
        <f t="shared" si="730"/>
        <v>7.5891549444137063E-2</v>
      </c>
      <c r="HA52" s="2">
        <f t="shared" si="731"/>
        <v>4.9365683503042358E-2</v>
      </c>
      <c r="HB52" s="2">
        <f t="shared" si="732"/>
        <v>0.2794420427867258</v>
      </c>
      <c r="HC52" s="2">
        <f t="shared" si="733"/>
        <v>0.55175952874500866</v>
      </c>
      <c r="HD52" s="2">
        <f t="shared" si="734"/>
        <v>0.27158243150283079</v>
      </c>
      <c r="HE52" s="2">
        <f t="shared" si="735"/>
        <v>0.17665803975216057</v>
      </c>
      <c r="HF52" s="2">
        <f t="shared" si="736"/>
        <v>-1.3644326056914675</v>
      </c>
      <c r="HG52" s="2">
        <f t="shared" si="737"/>
        <v>-1.3535460028658957</v>
      </c>
      <c r="HH52" s="2">
        <f t="shared" si="738"/>
        <v>-1.3589893042786816</v>
      </c>
      <c r="HI52" s="2">
        <f t="shared" si="739"/>
        <v>2.2100139926273705</v>
      </c>
      <c r="HJ52" s="2">
        <f t="shared" si="740"/>
        <v>0.2104176863671596</v>
      </c>
      <c r="HK52" s="2">
        <f t="shared" si="741"/>
        <v>0.34105178118584711</v>
      </c>
      <c r="HL52" s="2">
        <f t="shared" si="742"/>
        <v>0.8587936694568622</v>
      </c>
    </row>
    <row r="53" spans="1:220" ht="20.25">
      <c r="A53" s="150" t="s">
        <v>323</v>
      </c>
      <c r="B53" s="77">
        <v>3500</v>
      </c>
      <c r="C53" s="95">
        <f t="shared" ca="1" si="554"/>
        <v>-2.7574582127876708</v>
      </c>
      <c r="D53" s="70">
        <f t="shared" ca="1" si="555"/>
        <v>-2.4068940550676823</v>
      </c>
      <c r="E53" s="71">
        <f t="shared" ca="1" si="556"/>
        <v>-2.7574582127876708</v>
      </c>
      <c r="F53" s="177">
        <v>44.460177752071743</v>
      </c>
      <c r="G53" s="177">
        <v>2.1389383722459132</v>
      </c>
      <c r="H53" s="177">
        <v>10.231396538150975</v>
      </c>
      <c r="I53" s="177">
        <v>11.90793389384762</v>
      </c>
      <c r="J53" s="177">
        <v>0.12934205972563675</v>
      </c>
      <c r="K53" s="177">
        <v>19.73</v>
      </c>
      <c r="L53" s="177">
        <v>7.5068391673532311</v>
      </c>
      <c r="M53" s="177">
        <v>2.5835491236463697</v>
      </c>
      <c r="N53" s="177">
        <v>0.89948863832726655</v>
      </c>
      <c r="O53" s="328">
        <v>0.01</v>
      </c>
      <c r="P53" s="177">
        <v>0.4</v>
      </c>
      <c r="Q53" s="84"/>
      <c r="R53" s="72">
        <f t="shared" si="557"/>
        <v>99.997665545368761</v>
      </c>
      <c r="S53" s="106">
        <f t="shared" ca="1" si="558"/>
        <v>3.7895372610190554</v>
      </c>
      <c r="T53" s="104">
        <f t="shared" ca="1" si="559"/>
        <v>0.34706298907369748</v>
      </c>
      <c r="U53" s="107">
        <f t="shared" ca="1" si="560"/>
        <v>1690.4196878674072</v>
      </c>
      <c r="V53" s="107">
        <f t="shared" ca="1" si="561"/>
        <v>1619.5679605222228</v>
      </c>
      <c r="W53" s="105">
        <f t="shared" ca="1" si="562"/>
        <v>1633.0447142295295</v>
      </c>
      <c r="X53" s="102">
        <f t="shared" ca="1" si="563"/>
        <v>1666.4214727803553</v>
      </c>
      <c r="Y53" s="102">
        <f t="shared" ca="1" si="564"/>
        <v>1569.1671149506694</v>
      </c>
      <c r="Z53" s="103">
        <f t="shared" ca="1" si="565"/>
        <v>1637.3201725791794</v>
      </c>
      <c r="AA53" s="103">
        <f t="shared" ca="1" si="566"/>
        <v>1628.2810392958788</v>
      </c>
      <c r="AB53" s="103">
        <f t="shared" ca="1" si="567"/>
        <v>50.72864187264458</v>
      </c>
      <c r="AC53" s="4">
        <v>13.3</v>
      </c>
      <c r="AD53" s="273">
        <f t="shared" ca="1" si="568"/>
        <v>12.62271806628852</v>
      </c>
      <c r="AE53" s="3">
        <f t="shared" ca="1" si="569"/>
        <v>119.86454480585165</v>
      </c>
      <c r="AF53" s="3">
        <f t="shared" ca="1" si="570"/>
        <v>214.2450275984952</v>
      </c>
      <c r="AG53" s="2">
        <f t="shared" ca="1" si="571"/>
        <v>559.47410378402424</v>
      </c>
      <c r="AH53" s="2">
        <f t="shared" ca="1" si="572"/>
        <v>56.547339221194704</v>
      </c>
      <c r="AI53" s="87">
        <f t="shared" si="573"/>
        <v>0.42916294475218797</v>
      </c>
      <c r="AJ53" s="87">
        <f t="shared" ca="1" si="574"/>
        <v>3.7895372610190554</v>
      </c>
      <c r="AK53" s="87">
        <f t="shared" ca="1" si="575"/>
        <v>0.27696251074876505</v>
      </c>
      <c r="AL53" s="86">
        <f t="shared" ca="1" si="576"/>
        <v>0.25677266817167704</v>
      </c>
      <c r="AM53" s="87">
        <f t="shared" ca="1" si="577"/>
        <v>0.34706298907369748</v>
      </c>
      <c r="AN53" s="87">
        <f t="shared" ca="1" si="578"/>
        <v>0.34706298907369709</v>
      </c>
      <c r="AO53" s="96">
        <f t="shared" ca="1" si="579"/>
        <v>41.227993718775565</v>
      </c>
      <c r="AP53" s="96">
        <f t="shared" ca="1" si="580"/>
        <v>7.8859955694175401</v>
      </c>
      <c r="AQ53" s="96">
        <f t="shared" ca="1" si="581"/>
        <v>50.88601071180689</v>
      </c>
      <c r="AR53" s="73"/>
      <c r="AS53" s="53">
        <f t="shared" ca="1" si="138"/>
        <v>79.97095003566946</v>
      </c>
      <c r="AT53" s="68">
        <f t="shared" ca="1" si="582"/>
        <v>92.002808726950235</v>
      </c>
      <c r="AU53" s="74">
        <f t="shared" ca="1" si="583"/>
        <v>0.34706298907369709</v>
      </c>
      <c r="AV53" s="68">
        <f t="shared" si="584"/>
        <v>2.2958320704983386</v>
      </c>
      <c r="AW53" s="68">
        <f t="shared" ca="1" si="585"/>
        <v>2.3386434650485097</v>
      </c>
      <c r="AX53" s="69">
        <f t="shared" ca="1" si="586"/>
        <v>1695.3248590162116</v>
      </c>
      <c r="AY53" s="69">
        <f t="shared" ca="1" si="587"/>
        <v>1690.4196878674072</v>
      </c>
      <c r="AZ53" s="69">
        <f t="shared" ca="1" si="588"/>
        <v>1619.5679605222228</v>
      </c>
      <c r="BA53" s="75"/>
      <c r="BB53" s="74">
        <f t="shared" ca="1" si="589"/>
        <v>0.10107230851032181</v>
      </c>
      <c r="BC53" s="74">
        <f t="shared" ca="1" si="590"/>
        <v>1.765794339424219E-2</v>
      </c>
      <c r="BD53" s="68">
        <f t="shared" si="591"/>
        <v>0</v>
      </c>
      <c r="BE53" s="68">
        <f t="shared" ca="1" si="592"/>
        <v>0.1192579990440078</v>
      </c>
      <c r="BF53" s="68">
        <f t="shared" ca="1" si="593"/>
        <v>0.14080113292151797</v>
      </c>
      <c r="BH53" s="68">
        <f t="shared" ca="1" si="594"/>
        <v>6.9843462687200819E-2</v>
      </c>
      <c r="BI53" s="68">
        <f t="shared" ca="1" si="595"/>
        <v>0.14423010207576151</v>
      </c>
      <c r="BK53" s="53">
        <f t="shared" ca="1" si="596"/>
        <v>0.61582864080988919</v>
      </c>
      <c r="BL53" s="53">
        <f t="shared" si="597"/>
        <v>2.7198630504337361E-2</v>
      </c>
      <c r="BM53" s="53">
        <f t="shared" si="598"/>
        <v>2.7658811157005699E-2</v>
      </c>
      <c r="BN53" s="53">
        <f t="shared" si="599"/>
        <v>0.29826193757559721</v>
      </c>
      <c r="BO53" s="53">
        <f t="shared" si="600"/>
        <v>0.12514403700623272</v>
      </c>
      <c r="BP53" s="53">
        <f t="shared" si="601"/>
        <v>8.3595363851310722E-2</v>
      </c>
      <c r="BQ53" s="54">
        <f t="shared" si="602"/>
        <v>1439.128336</v>
      </c>
      <c r="BR53" s="262">
        <f t="shared" si="603"/>
        <v>4.6589357097256583</v>
      </c>
      <c r="BS53" s="54">
        <f t="shared" si="604"/>
        <v>1648.5078488164602</v>
      </c>
      <c r="BT53" s="67"/>
      <c r="BU53" s="73">
        <f t="shared" si="605"/>
        <v>0.74001627416897042</v>
      </c>
      <c r="BV53" s="73">
        <f t="shared" si="606"/>
        <v>2.6770192393565869E-2</v>
      </c>
      <c r="BW53" s="73">
        <f t="shared" si="607"/>
        <v>0.20069432205082335</v>
      </c>
      <c r="BX53" s="73">
        <f t="shared" si="608"/>
        <v>0.16573324834860989</v>
      </c>
      <c r="BY53" s="73">
        <f t="shared" si="609"/>
        <v>1.8232599341082149E-3</v>
      </c>
      <c r="BZ53" s="73">
        <f t="shared" si="610"/>
        <v>0.4895781637717122</v>
      </c>
      <c r="CA53" s="73">
        <f t="shared" si="611"/>
        <v>0.13385947160044992</v>
      </c>
      <c r="CB53" s="73">
        <f t="shared" si="612"/>
        <v>8.3367186952125513E-2</v>
      </c>
      <c r="CC53" s="73">
        <f t="shared" si="613"/>
        <v>1.9097423319050243E-2</v>
      </c>
      <c r="CD53" s="73">
        <f t="shared" si="614"/>
        <v>1.3158760444766102E-4</v>
      </c>
      <c r="CE53" s="73">
        <f t="shared" si="615"/>
        <v>5.6361843032267161E-3</v>
      </c>
      <c r="CF53" s="73">
        <f t="shared" si="616"/>
        <v>1.8667073144470898</v>
      </c>
      <c r="CG53" s="73">
        <f t="shared" si="617"/>
        <v>0.39642865726283388</v>
      </c>
      <c r="CH53" s="73">
        <f t="shared" si="618"/>
        <v>1.4340862215721846E-2</v>
      </c>
      <c r="CI53" s="73">
        <f t="shared" si="619"/>
        <v>0.10751247423609528</v>
      </c>
      <c r="CJ53" s="73">
        <f t="shared" si="620"/>
        <v>8.8783735439371389E-2</v>
      </c>
      <c r="CK53" s="73">
        <f t="shared" si="621"/>
        <v>9.7672512449990378E-4</v>
      </c>
      <c r="CL53" s="73">
        <f t="shared" si="622"/>
        <v>0.26226830525744366</v>
      </c>
      <c r="CM53" s="73">
        <f t="shared" si="623"/>
        <v>7.170886971110331E-2</v>
      </c>
      <c r="CN53" s="73">
        <f t="shared" si="624"/>
        <v>4.4660020511473969E-2</v>
      </c>
      <c r="CO53" s="73">
        <f t="shared" si="625"/>
        <v>1.0230539716241919E-2</v>
      </c>
      <c r="CP53" s="73">
        <f t="shared" si="626"/>
        <v>7.0491824523994355E-5</v>
      </c>
      <c r="CQ53" s="73">
        <f t="shared" si="627"/>
        <v>3.0193187006909692E-3</v>
      </c>
      <c r="CR53" s="73"/>
      <c r="CS53" s="73">
        <f t="shared" ca="1" si="628"/>
        <v>0.68621827095165722</v>
      </c>
      <c r="CT53" s="73">
        <f t="shared" ca="1" si="629"/>
        <v>0.10975637535723787</v>
      </c>
      <c r="CU53" s="73">
        <f t="shared" ca="1" si="630"/>
        <v>1.2626801665460767</v>
      </c>
      <c r="CV53" s="73">
        <f t="shared" ca="1" si="631"/>
        <v>2.0586548128549715</v>
      </c>
      <c r="CW53" s="73">
        <f t="shared" ca="1" si="632"/>
        <v>0.33333333333333337</v>
      </c>
      <c r="CX53" s="73">
        <f t="shared" ca="1" si="633"/>
        <v>5.3314608486998448E-2</v>
      </c>
      <c r="CY53" s="73">
        <f t="shared" ca="1" si="634"/>
        <v>0.61335205817966831</v>
      </c>
      <c r="CZ53" s="73">
        <f t="shared" si="635"/>
        <v>0.42373763553241828</v>
      </c>
      <c r="DA53" s="73">
        <f t="shared" si="636"/>
        <v>0.39642865726283388</v>
      </c>
      <c r="DB53" s="73">
        <f t="shared" si="637"/>
        <v>-0.49921240091198549</v>
      </c>
      <c r="DC53" s="73"/>
      <c r="DD53" s="73">
        <f t="shared" ca="1" si="638"/>
        <v>1695.3248590162116</v>
      </c>
      <c r="DE53" s="73">
        <f t="shared" ca="1" si="639"/>
        <v>15476.112184016685</v>
      </c>
      <c r="DF53" s="73">
        <f t="shared" si="640"/>
        <v>7.8619811236762311</v>
      </c>
      <c r="DG53" s="73">
        <f t="shared" si="641"/>
        <v>1730.2134904670745</v>
      </c>
      <c r="DH53" s="73">
        <f t="shared" si="642"/>
        <v>1457.0634904670746</v>
      </c>
      <c r="DI53" s="73">
        <f t="shared" si="449"/>
        <v>13602.905801982104</v>
      </c>
      <c r="DJ53" s="73">
        <f t="shared" si="643"/>
        <v>7.8619811236762311</v>
      </c>
      <c r="DK53" s="73">
        <f t="shared" si="644"/>
        <v>1730.2134904670745</v>
      </c>
      <c r="DL53" s="73">
        <f t="shared" ca="1" si="645"/>
        <v>3.7895372610190554</v>
      </c>
      <c r="DM53" s="73">
        <f t="shared" si="646"/>
        <v>-0.49921240091198549</v>
      </c>
      <c r="DN53" s="73">
        <f t="shared" si="647"/>
        <v>0.42373763553241828</v>
      </c>
      <c r="DO53" s="73">
        <f t="shared" si="648"/>
        <v>0.39642865726283388</v>
      </c>
      <c r="DP53" s="73">
        <f t="shared" si="649"/>
        <v>2.2958320704983386</v>
      </c>
      <c r="DQ53" s="73">
        <f t="shared" ca="1" si="650"/>
        <v>15476.168268121713</v>
      </c>
      <c r="DR53" s="73">
        <f t="shared" si="651"/>
        <v>7.8617578965040957</v>
      </c>
      <c r="DS53" s="73">
        <f t="shared" ca="1" si="652"/>
        <v>1695.3878857829664</v>
      </c>
      <c r="DT53" s="73">
        <f t="shared" si="653"/>
        <v>1457.1308874398042</v>
      </c>
      <c r="DU53" s="73">
        <f t="shared" ca="1" si="654"/>
        <v>1633.0447142295295</v>
      </c>
      <c r="DV53" s="76">
        <f t="shared" ca="1" si="655"/>
        <v>2.3386434650485097</v>
      </c>
      <c r="DW53" s="73">
        <f t="shared" ca="1" si="656"/>
        <v>2.8294136639532543</v>
      </c>
      <c r="DX53" s="73">
        <f t="shared" ca="1" si="657"/>
        <v>4638.7656077095398</v>
      </c>
      <c r="DY53" s="73">
        <f t="shared" ca="1" si="658"/>
        <v>1639.4794677100203</v>
      </c>
      <c r="DZ53" s="73">
        <f t="shared" ca="1" si="659"/>
        <v>3.7143386401925005</v>
      </c>
      <c r="EA53" s="73"/>
      <c r="EB53" s="73">
        <f t="shared" si="660"/>
        <v>0.74001627416897042</v>
      </c>
      <c r="EC53" s="73">
        <f t="shared" si="661"/>
        <v>2.6770192393565869E-2</v>
      </c>
      <c r="ED53" s="73">
        <f t="shared" si="662"/>
        <v>0.10034716102541168</v>
      </c>
      <c r="EE53" s="73">
        <f t="shared" si="663"/>
        <v>0.16573324834860989</v>
      </c>
      <c r="EF53" s="73">
        <f t="shared" si="664"/>
        <v>1.8232599341082149E-3</v>
      </c>
      <c r="EG53" s="73">
        <f t="shared" si="665"/>
        <v>0.4895781637717122</v>
      </c>
      <c r="EH53" s="73">
        <f t="shared" si="666"/>
        <v>0.13385947160044992</v>
      </c>
      <c r="EI53" s="73">
        <f t="shared" si="667"/>
        <v>4.1683593476062757E-2</v>
      </c>
      <c r="EJ53" s="73">
        <f t="shared" si="668"/>
        <v>9.5487116595251217E-3</v>
      </c>
      <c r="EK53" s="73">
        <f t="shared" si="669"/>
        <v>6.5793802223830508E-5</v>
      </c>
      <c r="EL53" s="73">
        <f t="shared" si="670"/>
        <v>2.8180921516133581E-3</v>
      </c>
      <c r="EM53" s="73">
        <f t="shared" si="671"/>
        <v>1.7122439623322534</v>
      </c>
      <c r="EN53" s="73">
        <f t="shared" si="672"/>
        <v>0.43219090880074806</v>
      </c>
      <c r="EO53" s="73">
        <f t="shared" si="673"/>
        <v>1.5634566675359798E-2</v>
      </c>
      <c r="EP53" s="73">
        <f t="shared" si="674"/>
        <v>5.8605644541872677E-2</v>
      </c>
      <c r="EQ53" s="73">
        <f t="shared" si="675"/>
        <v>9.6793010806044286E-2</v>
      </c>
      <c r="ER53" s="73">
        <f t="shared" si="676"/>
        <v>1.0648365386114408E-3</v>
      </c>
      <c r="ES53" s="73">
        <f t="shared" si="677"/>
        <v>0.28592780850274169</v>
      </c>
      <c r="ET53" s="73">
        <f t="shared" si="678"/>
        <v>7.8177803248387259E-2</v>
      </c>
      <c r="EU53" s="73">
        <f t="shared" si="679"/>
        <v>2.4344424271927578E-2</v>
      </c>
      <c r="EV53" s="73">
        <f t="shared" si="680"/>
        <v>5.5767238019743337E-3</v>
      </c>
      <c r="EW53" s="73">
        <f t="shared" si="681"/>
        <v>3.8425483559137535E-5</v>
      </c>
      <c r="EX53" s="73">
        <f t="shared" si="682"/>
        <v>1.645847328773655E-3</v>
      </c>
      <c r="EY53" s="73">
        <f t="shared" si="683"/>
        <v>1</v>
      </c>
      <c r="EZ53" s="73">
        <f t="shared" si="684"/>
        <v>0.10751247423609528</v>
      </c>
      <c r="FA53" s="73">
        <f t="shared" si="685"/>
        <v>0.518281993714651</v>
      </c>
      <c r="FB53" s="73">
        <f t="shared" si="686"/>
        <v>1.441644700446044</v>
      </c>
      <c r="FC53" s="73">
        <f t="shared" si="687"/>
        <v>0.81016142603348396</v>
      </c>
      <c r="FD53" s="73">
        <f t="shared" si="688"/>
        <v>1.5631672252915121</v>
      </c>
      <c r="FE53" s="73">
        <f t="shared" ca="1" si="689"/>
        <v>0.17581762409707172</v>
      </c>
      <c r="FF53" s="73">
        <f t="shared" ca="1" si="690"/>
        <v>1.2590613637708649E-2</v>
      </c>
      <c r="FG53" s="73">
        <f t="shared" ca="1" si="691"/>
        <v>7.1611783530626985E-2</v>
      </c>
      <c r="FH53" s="73">
        <f t="shared" ca="1" si="692"/>
        <v>0.25045407057684044</v>
      </c>
      <c r="FI53" s="73">
        <f t="shared" ca="1" si="693"/>
        <v>8.6923338360072933E-2</v>
      </c>
      <c r="FJ53" s="73">
        <f t="shared" ca="1" si="694"/>
        <v>0.34706298907369709</v>
      </c>
      <c r="FK53" s="73">
        <f t="shared" ca="1" si="695"/>
        <v>8.6923338360072905E-2</v>
      </c>
      <c r="FL53" s="73">
        <f t="shared" ca="1" si="696"/>
        <v>8.692333836007303E-2</v>
      </c>
      <c r="FM53" s="73"/>
      <c r="FN53" s="73"/>
      <c r="FO53" s="73"/>
      <c r="FP53" s="73">
        <f t="shared" ca="1" si="697"/>
        <v>1.8400561745390047</v>
      </c>
      <c r="FQ53" s="73">
        <f t="shared" ca="1" si="698"/>
        <v>0.15994382546099528</v>
      </c>
      <c r="FR53" s="73">
        <f t="shared" si="479"/>
        <v>0.33333333333333331</v>
      </c>
      <c r="FS53" s="73">
        <f t="shared" ca="1" si="699"/>
        <v>5.3314608486998427E-2</v>
      </c>
      <c r="FT53" s="73">
        <f t="shared" ca="1" si="700"/>
        <v>0.6133520581796682</v>
      </c>
      <c r="FU53" s="73">
        <f t="shared" si="701"/>
        <v>20.026666666666664</v>
      </c>
      <c r="FV53" s="73">
        <f t="shared" ca="1" si="702"/>
        <v>3.8306546197908369</v>
      </c>
      <c r="FW53" s="73">
        <f t="shared" ca="1" si="703"/>
        <v>24.718087944640626</v>
      </c>
      <c r="FX53" s="73">
        <f t="shared" ca="1" si="704"/>
        <v>48.575409231098128</v>
      </c>
      <c r="FY53" s="73">
        <f t="shared" ca="1" si="705"/>
        <v>41.227993718775565</v>
      </c>
      <c r="FZ53" s="73">
        <f t="shared" ca="1" si="706"/>
        <v>7.8859955694175401</v>
      </c>
      <c r="GA53" s="73">
        <f t="shared" ca="1" si="707"/>
        <v>50.88601071180689</v>
      </c>
      <c r="GB53" s="73">
        <f t="shared" ca="1" si="708"/>
        <v>92.002808726950249</v>
      </c>
      <c r="GC53" s="73">
        <f t="shared" ca="1" si="709"/>
        <v>3789537261.0190554</v>
      </c>
      <c r="GD53" s="2">
        <f t="shared" si="152"/>
        <v>38</v>
      </c>
      <c r="GE53">
        <f t="shared" ca="1" si="710"/>
        <v>1550.4662382721676</v>
      </c>
      <c r="GF53">
        <f t="shared" ca="1" si="711"/>
        <v>1550.3330370902975</v>
      </c>
      <c r="GG53">
        <f t="shared" ca="1" si="712"/>
        <v>1864.4007108349408</v>
      </c>
      <c r="GH53" s="2">
        <f t="shared" ca="1" si="713"/>
        <v>0.44603969936431265</v>
      </c>
      <c r="GI53" s="2">
        <f t="shared" ca="1" si="714"/>
        <v>1.0505597471722452</v>
      </c>
      <c r="GJ53" s="2">
        <f t="shared" ca="1" si="715"/>
        <v>-1.3063846866971005</v>
      </c>
      <c r="GK53" s="2">
        <f t="shared" ca="1" si="716"/>
        <v>1.2610354022638357</v>
      </c>
      <c r="GL53" s="2">
        <f t="shared" ca="1" si="717"/>
        <v>-0.44603969936431265</v>
      </c>
      <c r="GM53">
        <f t="shared" ca="1" si="718"/>
        <v>0.34532064797754103</v>
      </c>
      <c r="GN53">
        <f t="shared" ca="1" si="719"/>
        <v>4.1178226823202817E-2</v>
      </c>
      <c r="GO53">
        <f t="shared" ca="1" si="720"/>
        <v>-0.14384210466310923</v>
      </c>
      <c r="GP53">
        <f t="shared" ca="1" si="721"/>
        <v>-0.17685455085700741</v>
      </c>
      <c r="GQ53">
        <f t="shared" ca="1" si="722"/>
        <v>0.27769766158990183</v>
      </c>
      <c r="GR53">
        <f t="shared" ca="1" si="723"/>
        <v>0.11924634991962881</v>
      </c>
      <c r="GS53">
        <f t="shared" ca="1" si="724"/>
        <v>7.4190673017101E-2</v>
      </c>
      <c r="GT53">
        <f t="shared" ca="1" si="725"/>
        <v>3.9782082709082988E-3</v>
      </c>
      <c r="GU53">
        <f t="shared" ca="1" si="726"/>
        <v>0.55566445681983656</v>
      </c>
      <c r="GV53">
        <f t="shared" ca="1" si="727"/>
        <v>-0.28515646398748845</v>
      </c>
      <c r="GW53">
        <f t="shared" ca="1" si="728"/>
        <v>0.61582864080988919</v>
      </c>
      <c r="GY53" s="15">
        <f t="shared" si="729"/>
        <v>0.2101357705952199</v>
      </c>
      <c r="GZ53" s="2">
        <f t="shared" si="730"/>
        <v>7.4278636700791614E-2</v>
      </c>
      <c r="HA53" s="2">
        <f t="shared" si="731"/>
        <v>2.0676068175969814E-2</v>
      </c>
      <c r="HB53" s="2">
        <f t="shared" si="732"/>
        <v>0.30509047547198132</v>
      </c>
      <c r="HC53" s="2">
        <f t="shared" si="733"/>
        <v>0.68876542366698101</v>
      </c>
      <c r="HD53" s="2">
        <f t="shared" si="734"/>
        <v>0.24346429230830957</v>
      </c>
      <c r="HE53" s="2">
        <f t="shared" si="735"/>
        <v>6.7770284024709415E-2</v>
      </c>
      <c r="HF53" s="2">
        <f t="shared" si="736"/>
        <v>-1.2365319388648213</v>
      </c>
      <c r="HG53" s="2">
        <f t="shared" si="737"/>
        <v>-1.3273148154305494</v>
      </c>
      <c r="HH53" s="2">
        <f t="shared" si="738"/>
        <v>-1.2819233771476854</v>
      </c>
      <c r="HI53" s="2">
        <f t="shared" si="739"/>
        <v>1.464540382419437</v>
      </c>
      <c r="HJ53" s="2">
        <f t="shared" si="740"/>
        <v>0.27436463526148669</v>
      </c>
      <c r="HK53" s="2">
        <f t="shared" si="741"/>
        <v>0.34394854810083103</v>
      </c>
      <c r="HL53" s="2">
        <f t="shared" si="742"/>
        <v>0.67350054774352008</v>
      </c>
    </row>
    <row r="54" spans="1:220" ht="20.25">
      <c r="A54" s="150" t="s">
        <v>324</v>
      </c>
      <c r="B54" s="77">
        <v>3500</v>
      </c>
      <c r="C54" s="95">
        <f t="shared" ca="1" si="554"/>
        <v>-3.5387140197623226</v>
      </c>
      <c r="D54" s="70">
        <f t="shared" ca="1" si="555"/>
        <v>-3.4328879114644213</v>
      </c>
      <c r="E54" s="71">
        <f t="shared" ca="1" si="556"/>
        <v>-3.538714019762319</v>
      </c>
      <c r="F54" s="177">
        <v>47.471178415992384</v>
      </c>
      <c r="G54" s="177">
        <v>0.66893613343545899</v>
      </c>
      <c r="H54" s="177">
        <v>11.296943956860137</v>
      </c>
      <c r="I54" s="177">
        <v>11.971186692924874</v>
      </c>
      <c r="J54" s="177">
        <v>0.1803920085612693</v>
      </c>
      <c r="K54" s="177">
        <v>19.91</v>
      </c>
      <c r="L54" s="177">
        <v>6.8875169696329053</v>
      </c>
      <c r="M54" s="177">
        <v>1.4421956665242526</v>
      </c>
      <c r="N54" s="177">
        <v>0.1161705248257001</v>
      </c>
      <c r="O54" s="328">
        <v>0.01</v>
      </c>
      <c r="P54" s="177">
        <v>0.1</v>
      </c>
      <c r="Q54" s="84"/>
      <c r="R54" s="72">
        <f t="shared" si="557"/>
        <v>100.054520368757</v>
      </c>
      <c r="S54" s="106">
        <f t="shared" ca="1" si="558"/>
        <v>2.7677651725805319</v>
      </c>
      <c r="T54" s="104">
        <f t="shared" ca="1" si="559"/>
        <v>0.34993852003798293</v>
      </c>
      <c r="U54" s="107">
        <f t="shared" ca="1" si="560"/>
        <v>1602.6208658475718</v>
      </c>
      <c r="V54" s="107">
        <f t="shared" ca="1" si="561"/>
        <v>1563.9324394371647</v>
      </c>
      <c r="W54" s="105">
        <f t="shared" ca="1" si="562"/>
        <v>1572.0448780498962</v>
      </c>
      <c r="X54" s="102">
        <f t="shared" ca="1" si="563"/>
        <v>1694.9625563430677</v>
      </c>
      <c r="Y54" s="102">
        <f t="shared" ca="1" si="564"/>
        <v>1585.1144907964422</v>
      </c>
      <c r="Z54" s="103">
        <f t="shared" ca="1" si="565"/>
        <v>1658.7367485417367</v>
      </c>
      <c r="AA54" s="103">
        <f t="shared" ca="1" si="566"/>
        <v>1636.3780537092393</v>
      </c>
      <c r="AB54" s="103">
        <f t="shared" ca="1" si="567"/>
        <v>60.275217265453527</v>
      </c>
      <c r="AC54" s="4">
        <v>13.3</v>
      </c>
      <c r="AD54" s="273">
        <f t="shared" ca="1" si="568"/>
        <v>12.211815614686092</v>
      </c>
      <c r="AE54" s="3">
        <f t="shared" ca="1" si="569"/>
        <v>116.40101276737055</v>
      </c>
      <c r="AF54" s="3">
        <f t="shared" ca="1" si="570"/>
        <v>213.84652944084809</v>
      </c>
      <c r="AG54" s="2">
        <f t="shared" ca="1" si="571"/>
        <v>544.32032669283103</v>
      </c>
      <c r="AH54" s="2">
        <f t="shared" ca="1" si="572"/>
        <v>106.24505222437804</v>
      </c>
      <c r="AI54" s="87">
        <f t="shared" si="573"/>
        <v>0.38097160011154524</v>
      </c>
      <c r="AJ54" s="87">
        <f t="shared" ca="1" si="574"/>
        <v>2.7677651725805319</v>
      </c>
      <c r="AK54" s="87">
        <f t="shared" ca="1" si="575"/>
        <v>0.28718600101839953</v>
      </c>
      <c r="AL54" s="86">
        <f t="shared" ca="1" si="576"/>
        <v>0.28338867217036545</v>
      </c>
      <c r="AM54" s="87">
        <f t="shared" ca="1" si="577"/>
        <v>0.34993852003798287</v>
      </c>
      <c r="AN54" s="87">
        <f t="shared" ca="1" si="578"/>
        <v>0.34993852003798359</v>
      </c>
      <c r="AO54" s="96">
        <f t="shared" ca="1" si="579"/>
        <v>41.098757019313247</v>
      </c>
      <c r="AP54" s="96">
        <f t="shared" ca="1" si="580"/>
        <v>8.5751486513905668</v>
      </c>
      <c r="AQ54" s="96">
        <f t="shared" ca="1" si="581"/>
        <v>50.32609432929619</v>
      </c>
      <c r="AR54" s="73"/>
      <c r="AS54" s="53">
        <f t="shared" ca="1" si="138"/>
        <v>78.547910913852903</v>
      </c>
      <c r="AT54" s="68">
        <f t="shared" ca="1" si="582"/>
        <v>91.276593193034088</v>
      </c>
      <c r="AU54" s="74">
        <f t="shared" ca="1" si="583"/>
        <v>0.34993852003798359</v>
      </c>
      <c r="AV54" s="68">
        <f t="shared" si="584"/>
        <v>2.2628395352344395</v>
      </c>
      <c r="AW54" s="68">
        <f t="shared" ca="1" si="585"/>
        <v>2.2868350557020451</v>
      </c>
      <c r="AX54" s="69">
        <f t="shared" ca="1" si="586"/>
        <v>1609.9244473386552</v>
      </c>
      <c r="AY54" s="69">
        <f t="shared" ca="1" si="587"/>
        <v>1602.6208658475718</v>
      </c>
      <c r="AZ54" s="69">
        <f t="shared" ca="1" si="588"/>
        <v>1563.9324394371647</v>
      </c>
      <c r="BA54" s="75"/>
      <c r="BB54" s="74">
        <f t="shared" ca="1" si="589"/>
        <v>0.19518847085850988</v>
      </c>
      <c r="BC54" s="74">
        <f t="shared" ca="1" si="590"/>
        <v>1.5148482954139682E-2</v>
      </c>
      <c r="BD54" s="68">
        <f t="shared" si="591"/>
        <v>8.6005232321812758E-2</v>
      </c>
      <c r="BE54" s="68">
        <f t="shared" ca="1" si="592"/>
        <v>0.24891204760673979</v>
      </c>
      <c r="BF54" s="68">
        <f t="shared" ca="1" si="593"/>
        <v>0.21834774594187242</v>
      </c>
      <c r="BH54" s="68">
        <f t="shared" ca="1" si="594"/>
        <v>0.15530354959128645</v>
      </c>
      <c r="BI54" s="68">
        <f t="shared" ca="1" si="595"/>
        <v>0.22748885756361711</v>
      </c>
      <c r="BK54" s="53">
        <f t="shared" ca="1" si="596"/>
        <v>0.53766281769881297</v>
      </c>
      <c r="BL54" s="53">
        <f t="shared" si="597"/>
        <v>3.3197865070706434E-2</v>
      </c>
      <c r="BM54" s="53">
        <f t="shared" si="598"/>
        <v>3.5092428190771525E-2</v>
      </c>
      <c r="BN54" s="53">
        <f t="shared" si="599"/>
        <v>0.34035317882215665</v>
      </c>
      <c r="BO54" s="53">
        <f t="shared" si="600"/>
        <v>0.49118193720372694</v>
      </c>
      <c r="BP54" s="53">
        <f t="shared" si="601"/>
        <v>0.49879882785075547</v>
      </c>
      <c r="BQ54" s="54">
        <f t="shared" si="602"/>
        <v>1442.3787040000002</v>
      </c>
      <c r="BR54" s="262">
        <f t="shared" si="603"/>
        <v>4.7638897008963941</v>
      </c>
      <c r="BS54" s="54">
        <f t="shared" si="604"/>
        <v>1655.407642246224</v>
      </c>
      <c r="BT54" s="67"/>
      <c r="BU54" s="73">
        <f t="shared" si="605"/>
        <v>0.79013279653782265</v>
      </c>
      <c r="BV54" s="73">
        <f t="shared" si="606"/>
        <v>8.3721668765389112E-3</v>
      </c>
      <c r="BW54" s="73">
        <f t="shared" si="607"/>
        <v>0.22159560527383557</v>
      </c>
      <c r="BX54" s="73">
        <f t="shared" si="608"/>
        <v>0.16661359349930238</v>
      </c>
      <c r="BY54" s="73">
        <f t="shared" si="609"/>
        <v>2.5428814288309741E-3</v>
      </c>
      <c r="BZ54" s="73">
        <f t="shared" si="610"/>
        <v>0.49404466501240701</v>
      </c>
      <c r="CA54" s="73">
        <f t="shared" si="611"/>
        <v>0.12281592313896052</v>
      </c>
      <c r="CB54" s="73">
        <f t="shared" si="612"/>
        <v>4.6537452937213702E-2</v>
      </c>
      <c r="CC54" s="73">
        <f t="shared" si="613"/>
        <v>2.4664654952377941E-3</v>
      </c>
      <c r="CD54" s="73">
        <f t="shared" si="614"/>
        <v>1.3158760444766102E-4</v>
      </c>
      <c r="CE54" s="73">
        <f t="shared" si="615"/>
        <v>1.409046075806679E-3</v>
      </c>
      <c r="CF54" s="73">
        <f t="shared" si="616"/>
        <v>1.8566621838804038</v>
      </c>
      <c r="CG54" s="73">
        <f t="shared" si="617"/>
        <v>0.42556626800382913</v>
      </c>
      <c r="CH54" s="73">
        <f t="shared" si="618"/>
        <v>4.5092569608118872E-3</v>
      </c>
      <c r="CI54" s="73">
        <f t="shared" si="619"/>
        <v>0.11935160159868348</v>
      </c>
      <c r="CJ54" s="73">
        <f t="shared" si="620"/>
        <v>8.9738238299808412E-2</v>
      </c>
      <c r="CK54" s="73">
        <f t="shared" si="621"/>
        <v>1.3695983313003013E-3</v>
      </c>
      <c r="CL54" s="73">
        <f t="shared" si="622"/>
        <v>0.2660929216427832</v>
      </c>
      <c r="CM54" s="73">
        <f t="shared" si="623"/>
        <v>6.6148771814954821E-2</v>
      </c>
      <c r="CN54" s="73">
        <f t="shared" si="624"/>
        <v>2.5065115959840865E-2</v>
      </c>
      <c r="CO54" s="73">
        <f t="shared" si="625"/>
        <v>1.3284406375331608E-3</v>
      </c>
      <c r="CP54" s="73">
        <f t="shared" si="626"/>
        <v>7.0873207625010362E-5</v>
      </c>
      <c r="CQ54" s="73">
        <f t="shared" si="627"/>
        <v>7.5891354282973977E-4</v>
      </c>
      <c r="CR54" s="73"/>
      <c r="CS54" s="73">
        <f t="shared" ca="1" si="628"/>
        <v>0.68406719406313665</v>
      </c>
      <c r="CT54" s="73">
        <f t="shared" ca="1" si="629"/>
        <v>0.11934792834224868</v>
      </c>
      <c r="CU54" s="73">
        <f t="shared" ca="1" si="630"/>
        <v>1.2487864597840246</v>
      </c>
      <c r="CV54" s="73">
        <f t="shared" ca="1" si="631"/>
        <v>2.0522015821894097</v>
      </c>
      <c r="CW54" s="73">
        <f t="shared" ca="1" si="632"/>
        <v>0.33333333333333337</v>
      </c>
      <c r="CX54" s="73">
        <f t="shared" ca="1" si="633"/>
        <v>5.8156045379772717E-2</v>
      </c>
      <c r="CY54" s="73">
        <f t="shared" ca="1" si="634"/>
        <v>0.60851062128689404</v>
      </c>
      <c r="CZ54" s="73">
        <f t="shared" si="635"/>
        <v>0.42334953008884674</v>
      </c>
      <c r="DA54" s="73">
        <f t="shared" si="636"/>
        <v>0.42556626800382913</v>
      </c>
      <c r="DB54" s="73">
        <f t="shared" si="637"/>
        <v>-0.47647507289822438</v>
      </c>
      <c r="DC54" s="73"/>
      <c r="DD54" s="73">
        <f t="shared" ca="1" si="638"/>
        <v>1609.9244473386552</v>
      </c>
      <c r="DE54" s="73">
        <f t="shared" ca="1" si="639"/>
        <v>14971.026635632879</v>
      </c>
      <c r="DF54" s="73">
        <f t="shared" si="640"/>
        <v>7.9503105449661842</v>
      </c>
      <c r="DG54" s="73">
        <f t="shared" si="641"/>
        <v>1710.9904984271232</v>
      </c>
      <c r="DH54" s="73">
        <f t="shared" si="642"/>
        <v>1437.8404984271233</v>
      </c>
      <c r="DI54" s="73">
        <f t="shared" si="449"/>
        <v>13602.905801982104</v>
      </c>
      <c r="DJ54" s="73">
        <f t="shared" si="643"/>
        <v>7.9503105449661842</v>
      </c>
      <c r="DK54" s="73">
        <f t="shared" si="644"/>
        <v>1710.9904984271232</v>
      </c>
      <c r="DL54" s="73">
        <f t="shared" ca="1" si="645"/>
        <v>2.7677651725805319</v>
      </c>
      <c r="DM54" s="73">
        <f t="shared" si="646"/>
        <v>-0.47647507289822438</v>
      </c>
      <c r="DN54" s="73">
        <f t="shared" si="647"/>
        <v>0.42334953008884674</v>
      </c>
      <c r="DO54" s="73">
        <f t="shared" si="648"/>
        <v>0.42556626800382913</v>
      </c>
      <c r="DP54" s="73">
        <f t="shared" si="649"/>
        <v>2.2628395352344395</v>
      </c>
      <c r="DQ54" s="73">
        <f t="shared" ca="1" si="650"/>
        <v>14971.106324806551</v>
      </c>
      <c r="DR54" s="73">
        <f t="shared" si="651"/>
        <v>7.9500873177940488</v>
      </c>
      <c r="DS54" s="73">
        <f t="shared" ca="1" si="652"/>
        <v>1609.9873450827281</v>
      </c>
      <c r="DT54" s="73">
        <f t="shared" si="653"/>
        <v>1437.906606831647</v>
      </c>
      <c r="DU54" s="73">
        <f t="shared" ca="1" si="654"/>
        <v>1572.0448780498962</v>
      </c>
      <c r="DV54" s="76">
        <f t="shared" ca="1" si="655"/>
        <v>2.2868350557020451</v>
      </c>
      <c r="DW54" s="73">
        <f t="shared" ca="1" si="656"/>
        <v>2.9054583591907228</v>
      </c>
      <c r="DX54" s="73">
        <f t="shared" ca="1" si="657"/>
        <v>4582.4761833574612</v>
      </c>
      <c r="DY54" s="73">
        <f t="shared" ca="1" si="658"/>
        <v>1577.1956148887466</v>
      </c>
      <c r="DZ54" s="73">
        <f t="shared" ca="1" si="659"/>
        <v>3.5055102606701642</v>
      </c>
      <c r="EA54" s="73"/>
      <c r="EB54" s="73">
        <f t="shared" si="660"/>
        <v>0.79013279653782265</v>
      </c>
      <c r="EC54" s="73">
        <f t="shared" si="661"/>
        <v>8.3721668765389112E-3</v>
      </c>
      <c r="ED54" s="73">
        <f t="shared" si="662"/>
        <v>0.11079780263691778</v>
      </c>
      <c r="EE54" s="73">
        <f t="shared" si="663"/>
        <v>0.16661359349930238</v>
      </c>
      <c r="EF54" s="73">
        <f t="shared" si="664"/>
        <v>2.5428814288309741E-3</v>
      </c>
      <c r="EG54" s="73">
        <f t="shared" si="665"/>
        <v>0.49404466501240701</v>
      </c>
      <c r="EH54" s="73">
        <f t="shared" si="666"/>
        <v>0.12281592313896052</v>
      </c>
      <c r="EI54" s="73">
        <f t="shared" si="667"/>
        <v>2.3268726468606851E-2</v>
      </c>
      <c r="EJ54" s="73">
        <f t="shared" si="668"/>
        <v>1.233232747618897E-3</v>
      </c>
      <c r="EK54" s="73">
        <f t="shared" si="669"/>
        <v>6.5793802223830508E-5</v>
      </c>
      <c r="EL54" s="73">
        <f t="shared" si="670"/>
        <v>7.0452303790333951E-4</v>
      </c>
      <c r="EM54" s="73">
        <f t="shared" si="671"/>
        <v>1.7205921051871333</v>
      </c>
      <c r="EN54" s="73">
        <f t="shared" si="672"/>
        <v>0.45922144717262142</v>
      </c>
      <c r="EO54" s="73">
        <f t="shared" si="673"/>
        <v>4.8658638217036025E-3</v>
      </c>
      <c r="EP54" s="73">
        <f t="shared" si="674"/>
        <v>6.4395159261100579E-2</v>
      </c>
      <c r="EQ54" s="73">
        <f t="shared" si="675"/>
        <v>9.6835033124356526E-2</v>
      </c>
      <c r="ER54" s="73">
        <f t="shared" si="676"/>
        <v>1.4779106687545841E-3</v>
      </c>
      <c r="ES54" s="73">
        <f t="shared" si="677"/>
        <v>0.28713642444539417</v>
      </c>
      <c r="ET54" s="73">
        <f t="shared" si="678"/>
        <v>7.1380034099135264E-2</v>
      </c>
      <c r="EU54" s="73">
        <f t="shared" si="679"/>
        <v>1.3523673855330239E-2</v>
      </c>
      <c r="EV54" s="73">
        <f t="shared" si="680"/>
        <v>7.1674904464633083E-4</v>
      </c>
      <c r="EW54" s="73">
        <f t="shared" si="681"/>
        <v>3.8239046910351076E-5</v>
      </c>
      <c r="EX54" s="73">
        <f t="shared" si="682"/>
        <v>4.0946546004679875E-4</v>
      </c>
      <c r="EY54" s="73">
        <f t="shared" si="683"/>
        <v>0.99999999999999989</v>
      </c>
      <c r="EZ54" s="73">
        <f t="shared" si="684"/>
        <v>0.11935160159868348</v>
      </c>
      <c r="FA54" s="73">
        <f t="shared" si="685"/>
        <v>0.54942712656332449</v>
      </c>
      <c r="FB54" s="73">
        <f t="shared" si="686"/>
        <v>1.4777283543833528</v>
      </c>
      <c r="FC54" s="73">
        <f t="shared" si="687"/>
        <v>0.75774820251340769</v>
      </c>
      <c r="FD54" s="73">
        <f t="shared" si="688"/>
        <v>1.3791605217112866</v>
      </c>
      <c r="FE54" s="73">
        <f t="shared" ca="1" si="689"/>
        <v>0.11741797468109484</v>
      </c>
      <c r="FF54" s="73">
        <f t="shared" ca="1" si="690"/>
        <v>9.2078413116426765E-3</v>
      </c>
      <c r="FG54" s="73">
        <f t="shared" ca="1" si="691"/>
        <v>7.8419350501071169E-2</v>
      </c>
      <c r="FH54" s="73">
        <f t="shared" ca="1" si="692"/>
        <v>0.2731083339654265</v>
      </c>
      <c r="FI54" s="73">
        <f t="shared" ca="1" si="693"/>
        <v>9.5571126197900716E-2</v>
      </c>
      <c r="FJ54" s="73">
        <f t="shared" ca="1" si="694"/>
        <v>0.34993852003798359</v>
      </c>
      <c r="FK54" s="73">
        <f t="shared" ca="1" si="695"/>
        <v>9.5571126197900702E-2</v>
      </c>
      <c r="FL54" s="73">
        <f t="shared" ca="1" si="696"/>
        <v>9.5571126197900522E-2</v>
      </c>
      <c r="FM54" s="73"/>
      <c r="FN54" s="73"/>
      <c r="FO54" s="73"/>
      <c r="FP54" s="73">
        <f t="shared" ca="1" si="697"/>
        <v>1.8255318638606823</v>
      </c>
      <c r="FQ54" s="73">
        <f t="shared" ca="1" si="698"/>
        <v>0.17446813613931766</v>
      </c>
      <c r="FR54" s="73">
        <f t="shared" si="479"/>
        <v>0.33333333333333331</v>
      </c>
      <c r="FS54" s="73">
        <f t="shared" ca="1" si="699"/>
        <v>5.8156045379772557E-2</v>
      </c>
      <c r="FT54" s="73">
        <f t="shared" ca="1" si="700"/>
        <v>0.60851062128689415</v>
      </c>
      <c r="FU54" s="73">
        <f t="shared" si="701"/>
        <v>20.026666666666664</v>
      </c>
      <c r="FV54" s="73">
        <f t="shared" ca="1" si="702"/>
        <v>4.1785118605366582</v>
      </c>
      <c r="FW54" s="73">
        <f t="shared" ca="1" si="703"/>
        <v>24.522978037861833</v>
      </c>
      <c r="FX54" s="73">
        <f t="shared" ca="1" si="704"/>
        <v>48.728156565065156</v>
      </c>
      <c r="FY54" s="73">
        <f t="shared" ca="1" si="705"/>
        <v>41.098757019313247</v>
      </c>
      <c r="FZ54" s="73">
        <f t="shared" ca="1" si="706"/>
        <v>8.5751486513905455</v>
      </c>
      <c r="GA54" s="73">
        <f t="shared" ca="1" si="707"/>
        <v>50.326094329296204</v>
      </c>
      <c r="GB54" s="73">
        <f t="shared" ca="1" si="708"/>
        <v>91.276593193034117</v>
      </c>
      <c r="GC54" s="73">
        <f t="shared" ca="1" si="709"/>
        <v>2767765172.5805321</v>
      </c>
      <c r="GD54" s="2">
        <f t="shared" si="152"/>
        <v>38</v>
      </c>
      <c r="GE54">
        <f t="shared" ca="1" si="710"/>
        <v>1449.1152080562433</v>
      </c>
      <c r="GF54">
        <f t="shared" ca="1" si="711"/>
        <v>1448.7366766819466</v>
      </c>
      <c r="GG54">
        <f t="shared" ca="1" si="712"/>
        <v>1812.3666357752559</v>
      </c>
      <c r="GH54" s="2">
        <f t="shared" ca="1" si="713"/>
        <v>0.42318897361847402</v>
      </c>
      <c r="GI54" s="2">
        <f t="shared" ca="1" si="714"/>
        <v>1.3591349178806791</v>
      </c>
      <c r="GJ54" s="2">
        <f t="shared" ca="1" si="715"/>
        <v>-1.8908383212839361</v>
      </c>
      <c r="GK54" s="2">
        <f t="shared" ca="1" si="716"/>
        <v>1.5379356382306755</v>
      </c>
      <c r="GL54" s="2">
        <f t="shared" ca="1" si="717"/>
        <v>-0.42318897361847402</v>
      </c>
      <c r="GM54">
        <f t="shared" ca="1" si="718"/>
        <v>0.40982172774998982</v>
      </c>
      <c r="GN54">
        <f t="shared" ca="1" si="719"/>
        <v>6.8831136389278194E-2</v>
      </c>
      <c r="GO54">
        <f t="shared" ca="1" si="720"/>
        <v>-0.18108788379857266</v>
      </c>
      <c r="GP54">
        <f t="shared" ca="1" si="721"/>
        <v>-0.1375834472843524</v>
      </c>
      <c r="GQ54">
        <f t="shared" ca="1" si="722"/>
        <v>0.29457992998205085</v>
      </c>
      <c r="GR54">
        <f t="shared" ca="1" si="723"/>
        <v>0.16795384853598677</v>
      </c>
      <c r="GS54">
        <f t="shared" ca="1" si="724"/>
        <v>2.5326699875057937E-2</v>
      </c>
      <c r="GT54">
        <f t="shared" ca="1" si="725"/>
        <v>2.0303434201986242E-3</v>
      </c>
      <c r="GU54">
        <f t="shared" ca="1" si="726"/>
        <v>0.42546157655435668</v>
      </c>
      <c r="GV54">
        <f t="shared" ca="1" si="727"/>
        <v>-0.29762048660553114</v>
      </c>
      <c r="GW54">
        <f t="shared" ca="1" si="728"/>
        <v>0.53766281769881541</v>
      </c>
      <c r="GY54" s="15">
        <f t="shared" si="729"/>
        <v>0.19193857216251975</v>
      </c>
      <c r="GZ54" s="2">
        <f t="shared" si="730"/>
        <v>6.9299262129714531E-2</v>
      </c>
      <c r="HA54" s="2">
        <f t="shared" si="731"/>
        <v>8.6638991184669695E-2</v>
      </c>
      <c r="HB54" s="2">
        <f t="shared" si="732"/>
        <v>0.34787682547690402</v>
      </c>
      <c r="HC54" s="2">
        <f t="shared" si="733"/>
        <v>0.55174291043788659</v>
      </c>
      <c r="HD54" s="2">
        <f t="shared" si="734"/>
        <v>0.19920631975042383</v>
      </c>
      <c r="HE54" s="2">
        <f t="shared" si="735"/>
        <v>0.24905076981168947</v>
      </c>
      <c r="HF54" s="2">
        <f t="shared" si="736"/>
        <v>-1.2690106995852204</v>
      </c>
      <c r="HG54" s="2">
        <f t="shared" si="737"/>
        <v>-1.2719201638202988</v>
      </c>
      <c r="HH54" s="2">
        <f t="shared" si="738"/>
        <v>-1.2704654317027595</v>
      </c>
      <c r="HI54" s="2">
        <f t="shared" si="739"/>
        <v>2.7037380130667836</v>
      </c>
      <c r="HJ54" s="2">
        <f t="shared" si="740"/>
        <v>0.1489038737638497</v>
      </c>
      <c r="HK54" s="2">
        <f t="shared" si="741"/>
        <v>0.34426232090111175</v>
      </c>
      <c r="HL54" s="2">
        <f t="shared" si="742"/>
        <v>0.66994193689585702</v>
      </c>
    </row>
    <row r="55" spans="1:220" ht="20.25">
      <c r="A55" s="150" t="s">
        <v>325</v>
      </c>
      <c r="B55" s="77">
        <v>3500</v>
      </c>
      <c r="C55" s="95">
        <f t="shared" ca="1" si="554"/>
        <v>-3.0151368863066494</v>
      </c>
      <c r="D55" s="70">
        <f t="shared" ca="1" si="555"/>
        <v>-2.7494344975507801</v>
      </c>
      <c r="E55" s="71">
        <f t="shared" ca="1" si="556"/>
        <v>-3.0151368863066508</v>
      </c>
      <c r="F55" s="177">
        <v>45.046444550455462</v>
      </c>
      <c r="G55" s="177">
        <v>1.9635146383916122</v>
      </c>
      <c r="H55" s="177">
        <v>9.9495228010374586</v>
      </c>
      <c r="I55" s="177">
        <v>12.19543893005665</v>
      </c>
      <c r="J55" s="177">
        <v>0.13928732119590834</v>
      </c>
      <c r="K55" s="177">
        <v>20.39</v>
      </c>
      <c r="L55" s="177">
        <v>7.8217180212905504</v>
      </c>
      <c r="M55" s="177">
        <v>1.7846417544244226</v>
      </c>
      <c r="N55" s="177">
        <v>0.3881234880682588</v>
      </c>
      <c r="O55" s="328">
        <v>0.01</v>
      </c>
      <c r="P55" s="177">
        <v>0.3</v>
      </c>
      <c r="Q55" s="84"/>
      <c r="R55" s="72">
        <f t="shared" si="557"/>
        <v>99.98869150492034</v>
      </c>
      <c r="S55" s="106">
        <f t="shared" ca="1" si="558"/>
        <v>3.4265295217514842</v>
      </c>
      <c r="T55" s="104">
        <f t="shared" ca="1" si="559"/>
        <v>0.3483146576561193</v>
      </c>
      <c r="U55" s="107">
        <f t="shared" ca="1" si="560"/>
        <v>1661.161685464574</v>
      </c>
      <c r="V55" s="107">
        <f t="shared" ca="1" si="561"/>
        <v>1606.0330969018721</v>
      </c>
      <c r="W55" s="105">
        <f t="shared" ca="1" si="562"/>
        <v>1614.2643670533485</v>
      </c>
      <c r="X55" s="102">
        <f t="shared" ca="1" si="563"/>
        <v>1701.1720847197221</v>
      </c>
      <c r="Y55" s="102">
        <f t="shared" ca="1" si="564"/>
        <v>1590.2151073295825</v>
      </c>
      <c r="Z55" s="103">
        <f t="shared" ca="1" si="565"/>
        <v>1664.0377272717355</v>
      </c>
      <c r="AA55" s="103">
        <f t="shared" ca="1" si="566"/>
        <v>1648.5277143268211</v>
      </c>
      <c r="AB55" s="103">
        <f t="shared" ca="1" si="567"/>
        <v>58.571257967059317</v>
      </c>
      <c r="AC55" s="4">
        <v>13.3</v>
      </c>
      <c r="AD55" s="273">
        <f t="shared" ca="1" si="568"/>
        <v>12.522821028597662</v>
      </c>
      <c r="AE55" s="3">
        <f t="shared" ca="1" si="569"/>
        <v>119.06525264338893</v>
      </c>
      <c r="AF55" s="3">
        <f t="shared" ca="1" si="570"/>
        <v>214.14935652937746</v>
      </c>
      <c r="AG55" s="2">
        <f t="shared" ca="1" si="571"/>
        <v>555.99164327657138</v>
      </c>
      <c r="AH55" s="2">
        <f t="shared" ca="1" si="572"/>
        <v>85.40443337505063</v>
      </c>
      <c r="AI55" s="87">
        <f t="shared" si="573"/>
        <v>0.42085872459961005</v>
      </c>
      <c r="AJ55" s="87">
        <f t="shared" ca="1" si="574"/>
        <v>3.4265295217514726</v>
      </c>
      <c r="AK55" s="87">
        <f t="shared" ca="1" si="575"/>
        <v>0.28478338505022799</v>
      </c>
      <c r="AL55" s="86">
        <f t="shared" ca="1" si="576"/>
        <v>0.26923703961294237</v>
      </c>
      <c r="AM55" s="87">
        <f t="shared" ca="1" si="577"/>
        <v>0.34831465765611919</v>
      </c>
      <c r="AN55" s="87">
        <f t="shared" ca="1" si="578"/>
        <v>0.34831465765611913</v>
      </c>
      <c r="AO55" s="96">
        <f t="shared" ca="1" si="579"/>
        <v>41.176861768532973</v>
      </c>
      <c r="AP55" s="96">
        <f t="shared" ca="1" si="580"/>
        <v>8.1586560539670163</v>
      </c>
      <c r="AQ55" s="96">
        <f t="shared" ca="1" si="581"/>
        <v>50.664482177500005</v>
      </c>
      <c r="AR55" s="73"/>
      <c r="AS55" s="53">
        <f t="shared" ca="1" si="138"/>
        <v>79.408479373551856</v>
      </c>
      <c r="AT55" s="68">
        <f t="shared" ca="1" si="582"/>
        <v>91.716029640649865</v>
      </c>
      <c r="AU55" s="74">
        <f t="shared" ca="1" si="583"/>
        <v>0.34831465765611913</v>
      </c>
      <c r="AV55" s="68">
        <f t="shared" si="584"/>
        <v>2.2112871639448164</v>
      </c>
      <c r="AW55" s="68">
        <f t="shared" ca="1" si="585"/>
        <v>2.2439526015242719</v>
      </c>
      <c r="AX55" s="69">
        <f t="shared" ca="1" si="586"/>
        <v>1667.5341579790097</v>
      </c>
      <c r="AY55" s="69">
        <f t="shared" ca="1" si="587"/>
        <v>1661.1616854645754</v>
      </c>
      <c r="AZ55" s="69">
        <f t="shared" ca="1" si="588"/>
        <v>1606.0330969018735</v>
      </c>
      <c r="BA55" s="75"/>
      <c r="BB55" s="74">
        <f t="shared" ca="1" si="589"/>
        <v>0.15360740472958045</v>
      </c>
      <c r="BC55" s="74">
        <f t="shared" ca="1" si="590"/>
        <v>1.8822613913170194E-2</v>
      </c>
      <c r="BD55" s="68">
        <f t="shared" si="591"/>
        <v>4.412702516239822E-2</v>
      </c>
      <c r="BE55" s="68">
        <f t="shared" ca="1" si="592"/>
        <v>0.20867837825470154</v>
      </c>
      <c r="BF55" s="68">
        <f t="shared" ca="1" si="593"/>
        <v>0.17956503312184147</v>
      </c>
      <c r="BH55" s="68">
        <f t="shared" ca="1" si="594"/>
        <v>0.10457409626605546</v>
      </c>
      <c r="BI55" s="68">
        <f t="shared" ca="1" si="595"/>
        <v>0.18205918237938332</v>
      </c>
      <c r="BK55" s="53">
        <f t="shared" ca="1" si="596"/>
        <v>0.59402451655329636</v>
      </c>
      <c r="BL55" s="53">
        <f t="shared" si="597"/>
        <v>3.9967998582824578E-2</v>
      </c>
      <c r="BM55" s="53">
        <f t="shared" si="598"/>
        <v>4.4029264200257864E-2</v>
      </c>
      <c r="BN55" s="53">
        <f t="shared" si="599"/>
        <v>0.31202697122096479</v>
      </c>
      <c r="BO55" s="53">
        <f t="shared" si="600"/>
        <v>0.22365372146698398</v>
      </c>
      <c r="BP55" s="53">
        <f t="shared" si="601"/>
        <v>0.18995741868121052</v>
      </c>
      <c r="BQ55" s="54">
        <f t="shared" si="602"/>
        <v>1450.995664</v>
      </c>
      <c r="BR55" s="262">
        <f t="shared" si="603"/>
        <v>5.056511486636567</v>
      </c>
      <c r="BS55" s="54">
        <f t="shared" si="604"/>
        <v>1674.0059154468934</v>
      </c>
      <c r="BT55" s="67"/>
      <c r="BU55" s="73">
        <f t="shared" si="605"/>
        <v>0.7497743766720284</v>
      </c>
      <c r="BV55" s="73">
        <f t="shared" si="606"/>
        <v>2.4574651294012668E-2</v>
      </c>
      <c r="BW55" s="73">
        <f t="shared" si="607"/>
        <v>0.19516521775279441</v>
      </c>
      <c r="BX55" s="73">
        <f t="shared" si="608"/>
        <v>0.16973471023043354</v>
      </c>
      <c r="BY55" s="73">
        <f t="shared" si="609"/>
        <v>1.9634525119242787E-3</v>
      </c>
      <c r="BZ55" s="73">
        <f t="shared" si="610"/>
        <v>0.50595533498759315</v>
      </c>
      <c r="CA55" s="73">
        <f t="shared" si="611"/>
        <v>0.13947428711288429</v>
      </c>
      <c r="CB55" s="73">
        <f t="shared" si="612"/>
        <v>5.7587665518697088E-2</v>
      </c>
      <c r="CC55" s="73">
        <f t="shared" si="613"/>
        <v>8.2404137594110152E-3</v>
      </c>
      <c r="CD55" s="73">
        <f t="shared" si="614"/>
        <v>1.3158760444766102E-4</v>
      </c>
      <c r="CE55" s="73">
        <f t="shared" si="615"/>
        <v>4.2271382274200369E-3</v>
      </c>
      <c r="CF55" s="73">
        <f t="shared" si="616"/>
        <v>1.8568288356716465</v>
      </c>
      <c r="CG55" s="73">
        <f t="shared" si="617"/>
        <v>0.40379294109832276</v>
      </c>
      <c r="CH55" s="73">
        <f t="shared" si="618"/>
        <v>1.3234742385462578E-2</v>
      </c>
      <c r="CI55" s="73">
        <f t="shared" si="619"/>
        <v>0.10510673574400833</v>
      </c>
      <c r="CJ55" s="73">
        <f t="shared" si="620"/>
        <v>9.1411069760254787E-2</v>
      </c>
      <c r="CK55" s="73">
        <f t="shared" si="621"/>
        <v>1.0574224582278553E-3</v>
      </c>
      <c r="CL55" s="73">
        <f t="shared" si="622"/>
        <v>0.27248356190277523</v>
      </c>
      <c r="CM55" s="73">
        <f t="shared" si="623"/>
        <v>7.5114240167664173E-2</v>
      </c>
      <c r="CN55" s="73">
        <f t="shared" si="624"/>
        <v>3.1013987079679669E-2</v>
      </c>
      <c r="CO55" s="73">
        <f t="shared" si="625"/>
        <v>4.437896267606334E-3</v>
      </c>
      <c r="CP55" s="73">
        <f t="shared" si="626"/>
        <v>7.0866846701065768E-5</v>
      </c>
      <c r="CQ55" s="73">
        <f t="shared" si="627"/>
        <v>2.2765362892972359E-3</v>
      </c>
      <c r="CR55" s="73"/>
      <c r="CS55" s="73">
        <f t="shared" ca="1" si="628"/>
        <v>0.68536720653350491</v>
      </c>
      <c r="CT55" s="73">
        <f t="shared" ca="1" si="629"/>
        <v>0.11355123248388332</v>
      </c>
      <c r="CU55" s="73">
        <f t="shared" ca="1" si="630"/>
        <v>1.2571831805831268</v>
      </c>
      <c r="CV55" s="73">
        <f t="shared" ca="1" si="631"/>
        <v>2.0561016196005149</v>
      </c>
      <c r="CW55" s="73">
        <f t="shared" ca="1" si="632"/>
        <v>0.33333333333333331</v>
      </c>
      <c r="CX55" s="73">
        <f t="shared" ca="1" si="633"/>
        <v>5.5226469062334319E-2</v>
      </c>
      <c r="CY55" s="73">
        <f t="shared" ca="1" si="634"/>
        <v>0.61144019760433244</v>
      </c>
      <c r="CZ55" s="73">
        <f t="shared" si="635"/>
        <v>0.44006629428892208</v>
      </c>
      <c r="DA55" s="73">
        <f t="shared" si="636"/>
        <v>0.40379294109832276</v>
      </c>
      <c r="DB55" s="73">
        <f t="shared" si="637"/>
        <v>-0.4819396041807002</v>
      </c>
      <c r="DC55" s="73"/>
      <c r="DD55" s="73">
        <f t="shared" ca="1" si="638"/>
        <v>1667.5341579790097</v>
      </c>
      <c r="DE55" s="73">
        <f t="shared" ca="1" si="639"/>
        <v>15296.669072260014</v>
      </c>
      <c r="DF55" s="73">
        <f t="shared" si="640"/>
        <v>7.8821012730838449</v>
      </c>
      <c r="DG55" s="73">
        <f t="shared" si="641"/>
        <v>1725.7968821631257</v>
      </c>
      <c r="DH55" s="73">
        <f t="shared" si="642"/>
        <v>1452.6468821631256</v>
      </c>
      <c r="DI55" s="73">
        <f t="shared" si="449"/>
        <v>13602.905801982104</v>
      </c>
      <c r="DJ55" s="73">
        <f t="shared" si="643"/>
        <v>7.8821012730838449</v>
      </c>
      <c r="DK55" s="73">
        <f t="shared" si="644"/>
        <v>1725.7968821631257</v>
      </c>
      <c r="DL55" s="73">
        <f t="shared" ca="1" si="645"/>
        <v>3.4265295217514842</v>
      </c>
      <c r="DM55" s="73">
        <f t="shared" si="646"/>
        <v>-0.4819396041807002</v>
      </c>
      <c r="DN55" s="73">
        <f t="shared" si="647"/>
        <v>0.44006629428892208</v>
      </c>
      <c r="DO55" s="73">
        <f t="shared" si="648"/>
        <v>0.40379294109832276</v>
      </c>
      <c r="DP55" s="73">
        <f t="shared" si="649"/>
        <v>2.2112871639448164</v>
      </c>
      <c r="DQ55" s="73">
        <f t="shared" ca="1" si="650"/>
        <v>15296.733542601754</v>
      </c>
      <c r="DR55" s="73">
        <f t="shared" si="651"/>
        <v>7.8818780459117095</v>
      </c>
      <c r="DS55" s="73">
        <f t="shared" ca="1" si="652"/>
        <v>1667.5973007700359</v>
      </c>
      <c r="DT55" s="73">
        <f t="shared" si="653"/>
        <v>1452.7139820056373</v>
      </c>
      <c r="DU55" s="73">
        <f t="shared" ca="1" si="654"/>
        <v>1614.2643670533485</v>
      </c>
      <c r="DV55" s="76">
        <f t="shared" ca="1" si="655"/>
        <v>2.2439526015242719</v>
      </c>
      <c r="DW55" s="73">
        <f t="shared" ca="1" si="656"/>
        <v>2.8551019229684829</v>
      </c>
      <c r="DX55" s="73">
        <f t="shared" ca="1" si="657"/>
        <v>4618.7675113532896</v>
      </c>
      <c r="DY55" s="73">
        <f t="shared" ca="1" si="658"/>
        <v>1617.7242129945059</v>
      </c>
      <c r="DZ55" s="73">
        <f t="shared" ca="1" si="659"/>
        <v>3.5312975889603799</v>
      </c>
      <c r="EA55" s="73"/>
      <c r="EB55" s="73">
        <f t="shared" si="660"/>
        <v>0.7497743766720284</v>
      </c>
      <c r="EC55" s="73">
        <f t="shared" si="661"/>
        <v>2.4574651294012668E-2</v>
      </c>
      <c r="ED55" s="73">
        <f t="shared" si="662"/>
        <v>9.7582608876397206E-2</v>
      </c>
      <c r="EE55" s="73">
        <f t="shared" si="663"/>
        <v>0.16973471023043354</v>
      </c>
      <c r="EF55" s="73">
        <f t="shared" si="664"/>
        <v>1.9634525119242787E-3</v>
      </c>
      <c r="EG55" s="73">
        <f t="shared" si="665"/>
        <v>0.50595533498759315</v>
      </c>
      <c r="EH55" s="73">
        <f t="shared" si="666"/>
        <v>0.13947428711288429</v>
      </c>
      <c r="EI55" s="73">
        <f t="shared" si="667"/>
        <v>2.8793832759348544E-2</v>
      </c>
      <c r="EJ55" s="73">
        <f t="shared" si="668"/>
        <v>4.1202068797055076E-3</v>
      </c>
      <c r="EK55" s="73">
        <f t="shared" si="669"/>
        <v>6.5793802223830508E-5</v>
      </c>
      <c r="EL55" s="73">
        <f t="shared" si="670"/>
        <v>2.1135691137100184E-3</v>
      </c>
      <c r="EM55" s="73">
        <f t="shared" si="671"/>
        <v>1.7241528242402615</v>
      </c>
      <c r="EN55" s="73">
        <f t="shared" si="672"/>
        <v>0.43486538207679609</v>
      </c>
      <c r="EO55" s="73">
        <f t="shared" si="673"/>
        <v>1.4253174630758937E-2</v>
      </c>
      <c r="EP55" s="73">
        <f t="shared" si="674"/>
        <v>5.6597424256400498E-2</v>
      </c>
      <c r="EQ55" s="73">
        <f t="shared" si="675"/>
        <v>9.8445281557466471E-2</v>
      </c>
      <c r="ER55" s="73">
        <f t="shared" si="676"/>
        <v>1.1387926199578412E-3</v>
      </c>
      <c r="ES55" s="73">
        <f t="shared" si="677"/>
        <v>0.29345155944081674</v>
      </c>
      <c r="ET55" s="73">
        <f t="shared" si="678"/>
        <v>8.0894387754950239E-2</v>
      </c>
      <c r="EU55" s="73">
        <f t="shared" si="679"/>
        <v>1.6700278742423188E-2</v>
      </c>
      <c r="EV55" s="73">
        <f t="shared" si="680"/>
        <v>2.3896993478643947E-3</v>
      </c>
      <c r="EW55" s="73">
        <f t="shared" si="681"/>
        <v>3.816007566082327E-5</v>
      </c>
      <c r="EX55" s="73">
        <f t="shared" si="682"/>
        <v>1.2258594969047196E-3</v>
      </c>
      <c r="EY55" s="73">
        <f t="shared" si="683"/>
        <v>0.99999999999999989</v>
      </c>
      <c r="EZ55" s="73">
        <f t="shared" si="684"/>
        <v>0.10510673574400833</v>
      </c>
      <c r="FA55" s="73">
        <f t="shared" si="685"/>
        <v>0.52213441922779369</v>
      </c>
      <c r="FB55" s="73">
        <f t="shared" si="686"/>
        <v>1.4553053475394429</v>
      </c>
      <c r="FC55" s="73">
        <f t="shared" si="687"/>
        <v>0.82207301816771094</v>
      </c>
      <c r="FD55" s="73">
        <f t="shared" si="688"/>
        <v>1.5744470923474245</v>
      </c>
      <c r="FE55" s="73">
        <f t="shared" ca="1" si="689"/>
        <v>0.14685501325683092</v>
      </c>
      <c r="FF55" s="73">
        <f t="shared" ca="1" si="690"/>
        <v>1.1174979579584731E-2</v>
      </c>
      <c r="FG55" s="73">
        <f t="shared" ca="1" si="691"/>
        <v>7.6095322398297013E-2</v>
      </c>
      <c r="FH55" s="73">
        <f t="shared" ca="1" si="692"/>
        <v>0.25931135804253208</v>
      </c>
      <c r="FI55" s="73">
        <f t="shared" ca="1" si="693"/>
        <v>9.0321946902927996E-2</v>
      </c>
      <c r="FJ55" s="73">
        <f t="shared" ca="1" si="694"/>
        <v>0.34831465765611952</v>
      </c>
      <c r="FK55" s="73">
        <f t="shared" ca="1" si="695"/>
        <v>9.0321946902927983E-2</v>
      </c>
      <c r="FL55" s="73">
        <f t="shared" ca="1" si="696"/>
        <v>9.0321946902927913E-2</v>
      </c>
      <c r="FM55" s="73"/>
      <c r="FN55" s="73"/>
      <c r="FO55" s="73"/>
      <c r="FP55" s="73">
        <f t="shared" ca="1" si="697"/>
        <v>1.8343205928129971</v>
      </c>
      <c r="FQ55" s="73">
        <f t="shared" ca="1" si="698"/>
        <v>0.16567940718700291</v>
      </c>
      <c r="FR55" s="73">
        <f t="shared" si="479"/>
        <v>0.33333333333333331</v>
      </c>
      <c r="FS55" s="73">
        <f t="shared" ca="1" si="699"/>
        <v>5.5226469062334305E-2</v>
      </c>
      <c r="FT55" s="73">
        <f t="shared" ca="1" si="700"/>
        <v>0.61144019760433233</v>
      </c>
      <c r="FU55" s="73">
        <f t="shared" si="701"/>
        <v>20.026666666666664</v>
      </c>
      <c r="FV55" s="73">
        <f t="shared" ca="1" si="702"/>
        <v>3.9680218021287197</v>
      </c>
      <c r="FW55" s="73">
        <f t="shared" ca="1" si="703"/>
        <v>24.641039963454592</v>
      </c>
      <c r="FX55" s="73">
        <f t="shared" ca="1" si="704"/>
        <v>48.635728432249977</v>
      </c>
      <c r="FY55" s="73">
        <f t="shared" ca="1" si="705"/>
        <v>41.176861768532973</v>
      </c>
      <c r="FZ55" s="73">
        <f t="shared" ca="1" si="706"/>
        <v>8.1586560539670163</v>
      </c>
      <c r="GA55" s="73">
        <f t="shared" ca="1" si="707"/>
        <v>50.664482177500005</v>
      </c>
      <c r="GB55" s="73">
        <f t="shared" ca="1" si="708"/>
        <v>91.71602964064985</v>
      </c>
      <c r="GC55" s="73">
        <f t="shared" ca="1" si="709"/>
        <v>3426529521.7514844</v>
      </c>
      <c r="GD55" s="2">
        <f t="shared" si="152"/>
        <v>38</v>
      </c>
      <c r="GE55">
        <f t="shared" ca="1" si="710"/>
        <v>1515.6882562634878</v>
      </c>
      <c r="GF55">
        <f t="shared" ca="1" si="711"/>
        <v>1515.4591757490027</v>
      </c>
      <c r="GG55">
        <f t="shared" ca="1" si="712"/>
        <v>1846.6913786295113</v>
      </c>
      <c r="GH55" s="2">
        <f t="shared" ca="1" si="713"/>
        <v>0.43988026661807766</v>
      </c>
      <c r="GI55" s="2">
        <f t="shared" ca="1" si="714"/>
        <v>1.1601880844310517</v>
      </c>
      <c r="GJ55" s="2">
        <f t="shared" ca="1" si="715"/>
        <v>-1.5140251135581515</v>
      </c>
      <c r="GK55" s="2">
        <f t="shared" ca="1" si="716"/>
        <v>1.3594104996053475</v>
      </c>
      <c r="GL55" s="2">
        <f t="shared" ca="1" si="717"/>
        <v>-0.43988026661807766</v>
      </c>
      <c r="GM55">
        <f t="shared" ca="1" si="718"/>
        <v>0.37124550531221451</v>
      </c>
      <c r="GN55">
        <f t="shared" ca="1" si="719"/>
        <v>5.1166252888524159E-2</v>
      </c>
      <c r="GO55">
        <f t="shared" ca="1" si="720"/>
        <v>-0.15841962813545185</v>
      </c>
      <c r="GP55">
        <f t="shared" ca="1" si="721"/>
        <v>-0.1617908154842779</v>
      </c>
      <c r="GQ55">
        <f t="shared" ca="1" si="722"/>
        <v>0.28448313558655697</v>
      </c>
      <c r="GR55">
        <f t="shared" ca="1" si="723"/>
        <v>0.13782322521452148</v>
      </c>
      <c r="GS55">
        <f t="shared" ca="1" si="724"/>
        <v>5.4537440237350215E-2</v>
      </c>
      <c r="GT55">
        <f t="shared" ca="1" si="725"/>
        <v>3.1545269768340303E-3</v>
      </c>
      <c r="GU55">
        <f t="shared" ca="1" si="726"/>
        <v>0.51022221783761179</v>
      </c>
      <c r="GV55">
        <f t="shared" ca="1" si="727"/>
        <v>-0.28744320659652828</v>
      </c>
      <c r="GW55">
        <f t="shared" ca="1" si="728"/>
        <v>0.59402451655329802</v>
      </c>
      <c r="GY55" s="15">
        <f t="shared" si="729"/>
        <v>0.20458713571619611</v>
      </c>
      <c r="GZ55" s="2">
        <f t="shared" si="730"/>
        <v>7.088875896282025E-2</v>
      </c>
      <c r="HA55" s="2">
        <f t="shared" si="731"/>
        <v>3.8587355241949964E-2</v>
      </c>
      <c r="HB55" s="2">
        <f t="shared" si="732"/>
        <v>0.31406324992096629</v>
      </c>
      <c r="HC55" s="2">
        <f t="shared" si="733"/>
        <v>0.65142017019718246</v>
      </c>
      <c r="HD55" s="2">
        <f t="shared" si="734"/>
        <v>0.22571491246001987</v>
      </c>
      <c r="HE55" s="2">
        <f t="shared" si="735"/>
        <v>0.12286491734279778</v>
      </c>
      <c r="HF55" s="2">
        <f t="shared" si="736"/>
        <v>-1.3838541225029961</v>
      </c>
      <c r="HG55" s="2">
        <f t="shared" si="737"/>
        <v>-1.3676772734848359</v>
      </c>
      <c r="HH55" s="2">
        <f t="shared" si="738"/>
        <v>-1.3757656979939159</v>
      </c>
      <c r="HI55" s="2">
        <f t="shared" si="739"/>
        <v>1.8528512514313045</v>
      </c>
      <c r="HJ55" s="2">
        <f t="shared" si="740"/>
        <v>0.25563990636203732</v>
      </c>
      <c r="HK55" s="2">
        <f t="shared" si="741"/>
        <v>0.34507397973455817</v>
      </c>
      <c r="HL55" s="2">
        <f t="shared" si="742"/>
        <v>0.65762290689136726</v>
      </c>
    </row>
    <row r="56" spans="1:220" ht="20.25">
      <c r="A56" s="150" t="s">
        <v>326</v>
      </c>
      <c r="B56" s="77">
        <v>3500</v>
      </c>
      <c r="C56" s="95">
        <f t="shared" ca="1" si="554"/>
        <v>-3.1829225253390523</v>
      </c>
      <c r="D56" s="70">
        <f t="shared" ca="1" si="555"/>
        <v>-2.9469557426261126</v>
      </c>
      <c r="E56" s="71">
        <f t="shared" ca="1" si="556"/>
        <v>-3.1829225253390456</v>
      </c>
      <c r="F56" s="177">
        <v>44.804696922213587</v>
      </c>
      <c r="G56" s="177">
        <v>2.5773979801190126</v>
      </c>
      <c r="H56" s="177">
        <v>9.6370517665315045</v>
      </c>
      <c r="I56" s="177">
        <v>11.763103738605825</v>
      </c>
      <c r="J56" s="177">
        <v>0.14512411295867372</v>
      </c>
      <c r="K56" s="177">
        <v>19.440000000000001</v>
      </c>
      <c r="L56" s="177">
        <v>8.4735515950863594</v>
      </c>
      <c r="M56" s="177">
        <v>1.8805337601224921</v>
      </c>
      <c r="N56" s="177">
        <v>0.86244350631076372</v>
      </c>
      <c r="O56" s="328">
        <v>0.01</v>
      </c>
      <c r="P56" s="177">
        <v>0.4</v>
      </c>
      <c r="Q56" s="84"/>
      <c r="R56" s="72">
        <f t="shared" si="557"/>
        <v>99.993903381948229</v>
      </c>
      <c r="S56" s="106">
        <f t="shared" ca="1" si="558"/>
        <v>3.2956902380943638</v>
      </c>
      <c r="T56" s="104">
        <f t="shared" ca="1" si="559"/>
        <v>0.34564607969513522</v>
      </c>
      <c r="U56" s="107">
        <f t="shared" ca="1" si="560"/>
        <v>1638.7083052865335</v>
      </c>
      <c r="V56" s="107">
        <f t="shared" ca="1" si="561"/>
        <v>1586.2213975842826</v>
      </c>
      <c r="W56" s="105">
        <f t="shared" ca="1" si="562"/>
        <v>1595.3281956837711</v>
      </c>
      <c r="X56" s="102">
        <f t="shared" ca="1" si="563"/>
        <v>1653.1606607211829</v>
      </c>
      <c r="Y56" s="102">
        <f t="shared" ca="1" si="564"/>
        <v>1559.935103837224</v>
      </c>
      <c r="Z56" s="103">
        <f t="shared" ca="1" si="565"/>
        <v>1619.6393075356973</v>
      </c>
      <c r="AA56" s="103">
        <f t="shared" ca="1" si="566"/>
        <v>1608.5178416134381</v>
      </c>
      <c r="AB56" s="103">
        <f t="shared" ca="1" si="567"/>
        <v>48.513571194974148</v>
      </c>
      <c r="AC56" s="4">
        <v>13.3</v>
      </c>
      <c r="AD56" s="273">
        <f t="shared" ca="1" si="568"/>
        <v>12.37652002932678</v>
      </c>
      <c r="AE56" s="3">
        <f t="shared" ca="1" si="569"/>
        <v>117.84507666141693</v>
      </c>
      <c r="AF56" s="3">
        <f t="shared" ca="1" si="570"/>
        <v>214.00785385634038</v>
      </c>
      <c r="AG56" s="2">
        <f t="shared" ca="1" si="571"/>
        <v>550.65771904111614</v>
      </c>
      <c r="AH56" s="2">
        <f t="shared" ca="1" si="572"/>
        <v>63.08562027138742</v>
      </c>
      <c r="AI56" s="87">
        <f t="shared" si="573"/>
        <v>0.41516216502497022</v>
      </c>
      <c r="AJ56" s="87">
        <f t="shared" ca="1" si="574"/>
        <v>3.2956902380943469</v>
      </c>
      <c r="AK56" s="87">
        <f t="shared" ca="1" si="575"/>
        <v>0.27796517848964308</v>
      </c>
      <c r="AL56" s="86">
        <f t="shared" ca="1" si="576"/>
        <v>0.26245573354615326</v>
      </c>
      <c r="AM56" s="87">
        <f t="shared" ca="1" si="577"/>
        <v>0.34564607969513528</v>
      </c>
      <c r="AN56" s="87">
        <f t="shared" ca="1" si="578"/>
        <v>0.34564607969513433</v>
      </c>
      <c r="AO56" s="96">
        <f t="shared" ca="1" si="579"/>
        <v>41.195557388886947</v>
      </c>
      <c r="AP56" s="96">
        <f t="shared" ca="1" si="580"/>
        <v>8.0589618924792941</v>
      </c>
      <c r="AQ56" s="96">
        <f t="shared" ca="1" si="581"/>
        <v>50.745480718633743</v>
      </c>
      <c r="AR56" s="73"/>
      <c r="AS56" s="53">
        <f t="shared" ca="1" si="138"/>
        <v>79.509693728199267</v>
      </c>
      <c r="AT56" s="68">
        <f t="shared" ca="1" si="582"/>
        <v>91.820968615514587</v>
      </c>
      <c r="AU56" s="74">
        <f t="shared" ca="1" si="583"/>
        <v>0.34564607969513433</v>
      </c>
      <c r="AV56" s="68">
        <f t="shared" si="584"/>
        <v>2.3097613320614108</v>
      </c>
      <c r="AW56" s="68">
        <f t="shared" ca="1" si="585"/>
        <v>2.3489677746247781</v>
      </c>
      <c r="AX56" s="69">
        <f t="shared" ca="1" si="586"/>
        <v>1644.0674108752437</v>
      </c>
      <c r="AY56" s="69">
        <f t="shared" ca="1" si="587"/>
        <v>1638.7083052865339</v>
      </c>
      <c r="AZ56" s="69">
        <f t="shared" ca="1" si="588"/>
        <v>1586.2213975842824</v>
      </c>
      <c r="BA56" s="75"/>
      <c r="BB56" s="74">
        <f t="shared" ca="1" si="589"/>
        <v>0.11456412593514828</v>
      </c>
      <c r="BC56" s="74">
        <f t="shared" ca="1" si="590"/>
        <v>2.8436678143367131E-2</v>
      </c>
      <c r="BD56" s="68">
        <f t="shared" si="591"/>
        <v>2.6021631943640072E-2</v>
      </c>
      <c r="BE56" s="68">
        <f t="shared" ca="1" si="592"/>
        <v>0.11387119597531031</v>
      </c>
      <c r="BF56" s="68">
        <f t="shared" ca="1" si="593"/>
        <v>0.16427694394713588</v>
      </c>
      <c r="BH56" s="68">
        <f t="shared" ca="1" si="594"/>
        <v>7.8659415966590415E-2</v>
      </c>
      <c r="BI56" s="68">
        <f t="shared" ca="1" si="595"/>
        <v>0.15408673187450145</v>
      </c>
      <c r="BK56" s="53">
        <f t="shared" ca="1" si="596"/>
        <v>0.53884756639083453</v>
      </c>
      <c r="BL56" s="53">
        <f t="shared" si="597"/>
        <v>2.4694560039821387E-2</v>
      </c>
      <c r="BM56" s="53">
        <f t="shared" si="598"/>
        <v>2.4696354430721264E-2</v>
      </c>
      <c r="BN56" s="53">
        <f t="shared" si="599"/>
        <v>0.30461011234318014</v>
      </c>
      <c r="BO56" s="53">
        <f t="shared" si="600"/>
        <v>0.18356569708140863</v>
      </c>
      <c r="BP56" s="53">
        <f t="shared" si="601"/>
        <v>0.14913042190330117</v>
      </c>
      <c r="BQ56" s="54">
        <f t="shared" si="602"/>
        <v>1433.8698240000001</v>
      </c>
      <c r="BR56" s="262">
        <f t="shared" si="603"/>
        <v>4.4950956392428427</v>
      </c>
      <c r="BS56" s="54">
        <f t="shared" si="604"/>
        <v>1637.4764731321109</v>
      </c>
      <c r="BT56" s="67"/>
      <c r="BU56" s="73">
        <f t="shared" si="605"/>
        <v>0.74575061455082536</v>
      </c>
      <c r="BV56" s="73">
        <f t="shared" si="606"/>
        <v>3.2257796997734824E-2</v>
      </c>
      <c r="BW56" s="73">
        <f t="shared" si="607"/>
        <v>0.18903593108143399</v>
      </c>
      <c r="BX56" s="73">
        <f t="shared" si="608"/>
        <v>0.16371751897850836</v>
      </c>
      <c r="BY56" s="73">
        <f t="shared" si="609"/>
        <v>2.0457303772014905E-3</v>
      </c>
      <c r="BZ56" s="73">
        <f t="shared" si="610"/>
        <v>0.48238213399503727</v>
      </c>
      <c r="CA56" s="73">
        <f t="shared" si="611"/>
        <v>0.15109756767272395</v>
      </c>
      <c r="CB56" s="73">
        <f t="shared" si="612"/>
        <v>6.0681954182719981E-2</v>
      </c>
      <c r="CC56" s="73">
        <f t="shared" si="613"/>
        <v>1.8310902469442968E-2</v>
      </c>
      <c r="CD56" s="73">
        <f t="shared" si="614"/>
        <v>1.3158760444766102E-4</v>
      </c>
      <c r="CE56" s="73">
        <f t="shared" si="615"/>
        <v>5.6361843032267161E-3</v>
      </c>
      <c r="CF56" s="73">
        <f t="shared" si="616"/>
        <v>1.8510479222133025</v>
      </c>
      <c r="CG56" s="73">
        <f t="shared" si="617"/>
        <v>0.40288023103104187</v>
      </c>
      <c r="CH56" s="73">
        <f t="shared" si="618"/>
        <v>1.742677572559229E-2</v>
      </c>
      <c r="CI56" s="73">
        <f t="shared" si="619"/>
        <v>0.10212373694539646</v>
      </c>
      <c r="CJ56" s="73">
        <f t="shared" si="620"/>
        <v>8.8445856540953799E-2</v>
      </c>
      <c r="CK56" s="73">
        <f t="shared" si="621"/>
        <v>1.1051741841212872E-3</v>
      </c>
      <c r="CL56" s="73">
        <f t="shared" si="622"/>
        <v>0.26059948432791075</v>
      </c>
      <c r="CM56" s="73">
        <f t="shared" si="623"/>
        <v>8.1628123107723882E-2</v>
      </c>
      <c r="CN56" s="73">
        <f t="shared" si="624"/>
        <v>3.2782486857586279E-2</v>
      </c>
      <c r="CO56" s="73">
        <f t="shared" si="625"/>
        <v>9.8921817472713384E-3</v>
      </c>
      <c r="CP56" s="73">
        <f t="shared" si="626"/>
        <v>7.1088167339461103E-5</v>
      </c>
      <c r="CQ56" s="73">
        <f t="shared" si="627"/>
        <v>3.0448613650626163E-3</v>
      </c>
      <c r="CR56" s="73"/>
      <c r="CS56" s="73">
        <f t="shared" ca="1" si="628"/>
        <v>0.68567838530104774</v>
      </c>
      <c r="CT56" s="73">
        <f t="shared" ca="1" si="629"/>
        <v>0.11216370066081134</v>
      </c>
      <c r="CU56" s="73">
        <f t="shared" ca="1" si="630"/>
        <v>1.2591930699412841</v>
      </c>
      <c r="CV56" s="73">
        <f t="shared" ca="1" si="631"/>
        <v>2.0570351559031432</v>
      </c>
      <c r="CW56" s="73">
        <f t="shared" ca="1" si="632"/>
        <v>0.33333333333333331</v>
      </c>
      <c r="CX56" s="73">
        <f t="shared" ca="1" si="633"/>
        <v>5.4526875896569578E-2</v>
      </c>
      <c r="CY56" s="73">
        <f t="shared" ca="1" si="634"/>
        <v>0.61213979077009706</v>
      </c>
      <c r="CZ56" s="73">
        <f t="shared" si="635"/>
        <v>0.43177863816070966</v>
      </c>
      <c r="DA56" s="73">
        <f t="shared" si="636"/>
        <v>0.40288023103104187</v>
      </c>
      <c r="DB56" s="73">
        <f t="shared" si="637"/>
        <v>-0.50009340800044977</v>
      </c>
      <c r="DC56" s="73"/>
      <c r="DD56" s="73">
        <f t="shared" ca="1" si="638"/>
        <v>1644.0674108752437</v>
      </c>
      <c r="DE56" s="73">
        <f t="shared" ca="1" si="639"/>
        <v>15231.992191687652</v>
      </c>
      <c r="DF56" s="73">
        <f t="shared" si="640"/>
        <v>7.944843451392388</v>
      </c>
      <c r="DG56" s="73">
        <f t="shared" si="641"/>
        <v>1712.1678841384976</v>
      </c>
      <c r="DH56" s="73">
        <f t="shared" si="642"/>
        <v>1439.0178841384977</v>
      </c>
      <c r="DI56" s="73">
        <f t="shared" si="449"/>
        <v>13602.905801982104</v>
      </c>
      <c r="DJ56" s="73">
        <f t="shared" si="643"/>
        <v>7.944843451392388</v>
      </c>
      <c r="DK56" s="73">
        <f t="shared" si="644"/>
        <v>1712.1678841384976</v>
      </c>
      <c r="DL56" s="73">
        <f t="shared" ca="1" si="645"/>
        <v>3.2956902380943638</v>
      </c>
      <c r="DM56" s="73">
        <f t="shared" si="646"/>
        <v>-0.50009340800044977</v>
      </c>
      <c r="DN56" s="73">
        <f t="shared" si="647"/>
        <v>0.43177863816070966</v>
      </c>
      <c r="DO56" s="73">
        <f t="shared" si="648"/>
        <v>0.40288023103104187</v>
      </c>
      <c r="DP56" s="73">
        <f t="shared" si="649"/>
        <v>2.3097613320614108</v>
      </c>
      <c r="DQ56" s="73">
        <f t="shared" ca="1" si="650"/>
        <v>15232.059684690039</v>
      </c>
      <c r="DR56" s="73">
        <f t="shared" si="651"/>
        <v>7.9446202242202526</v>
      </c>
      <c r="DS56" s="73">
        <f t="shared" ca="1" si="652"/>
        <v>1644.1297760996854</v>
      </c>
      <c r="DT56" s="73">
        <f t="shared" si="653"/>
        <v>1439.0840711176165</v>
      </c>
      <c r="DU56" s="73">
        <f t="shared" ca="1" si="654"/>
        <v>1595.3281956837711</v>
      </c>
      <c r="DV56" s="76">
        <f t="shared" ca="1" si="655"/>
        <v>2.3489677746247772</v>
      </c>
      <c r="DW56" s="73">
        <f t="shared" ca="1" si="656"/>
        <v>2.8716726996412127</v>
      </c>
      <c r="DX56" s="73">
        <f t="shared" ca="1" si="657"/>
        <v>4611.5595752166182</v>
      </c>
      <c r="DY56" s="73">
        <f t="shared" ca="1" si="658"/>
        <v>1605.8792409708765</v>
      </c>
      <c r="DZ56" s="73">
        <f t="shared" ca="1" si="659"/>
        <v>3.7007443095334911</v>
      </c>
      <c r="EA56" s="73"/>
      <c r="EB56" s="73">
        <f t="shared" si="660"/>
        <v>0.74575061455082536</v>
      </c>
      <c r="EC56" s="73">
        <f t="shared" si="661"/>
        <v>3.2257796997734824E-2</v>
      </c>
      <c r="ED56" s="73">
        <f t="shared" si="662"/>
        <v>9.4517965540716994E-2</v>
      </c>
      <c r="EE56" s="73">
        <f t="shared" si="663"/>
        <v>0.16371751897850836</v>
      </c>
      <c r="EF56" s="73">
        <f t="shared" si="664"/>
        <v>2.0457303772014905E-3</v>
      </c>
      <c r="EG56" s="73">
        <f t="shared" si="665"/>
        <v>0.48238213399503727</v>
      </c>
      <c r="EH56" s="73">
        <f t="shared" si="666"/>
        <v>0.15109756767272395</v>
      </c>
      <c r="EI56" s="73">
        <f t="shared" si="667"/>
        <v>3.0340977091359991E-2</v>
      </c>
      <c r="EJ56" s="73">
        <f t="shared" si="668"/>
        <v>9.1554512347214838E-3</v>
      </c>
      <c r="EK56" s="73">
        <f t="shared" si="669"/>
        <v>6.5793802223830508E-5</v>
      </c>
      <c r="EL56" s="73">
        <f t="shared" si="670"/>
        <v>2.8180921516133581E-3</v>
      </c>
      <c r="EM56" s="73">
        <f t="shared" si="671"/>
        <v>1.7141496423926672</v>
      </c>
      <c r="EN56" s="73">
        <f t="shared" si="672"/>
        <v>0.43505572448732177</v>
      </c>
      <c r="EO56" s="73">
        <f t="shared" si="673"/>
        <v>1.8818541975546731E-2</v>
      </c>
      <c r="EP56" s="73">
        <f t="shared" si="674"/>
        <v>5.5139856639812183E-2</v>
      </c>
      <c r="EQ56" s="73">
        <f t="shared" si="675"/>
        <v>9.5509467160630149E-2</v>
      </c>
      <c r="ER56" s="73">
        <f t="shared" si="676"/>
        <v>1.1934374494551082E-3</v>
      </c>
      <c r="ES56" s="73">
        <f t="shared" si="677"/>
        <v>0.28141191531079646</v>
      </c>
      <c r="ET56" s="73">
        <f t="shared" si="678"/>
        <v>8.8147244520505763E-2</v>
      </c>
      <c r="EU56" s="73">
        <f t="shared" si="679"/>
        <v>1.7700308270058057E-2</v>
      </c>
      <c r="EV56" s="73">
        <f t="shared" si="680"/>
        <v>5.3411038384851856E-3</v>
      </c>
      <c r="EW56" s="73">
        <f t="shared" si="681"/>
        <v>3.8382764606241338E-5</v>
      </c>
      <c r="EX56" s="73">
        <f t="shared" si="682"/>
        <v>1.6440175827821958E-3</v>
      </c>
      <c r="EY56" s="73">
        <f t="shared" si="683"/>
        <v>0.99999999999999978</v>
      </c>
      <c r="EZ56" s="73">
        <f t="shared" si="684"/>
        <v>0.10212373694539646</v>
      </c>
      <c r="FA56" s="73">
        <f t="shared" si="685"/>
        <v>0.52243074370203069</v>
      </c>
      <c r="FB56" s="73">
        <f t="shared" si="686"/>
        <v>1.4546343770581671</v>
      </c>
      <c r="FC56" s="73">
        <f t="shared" si="687"/>
        <v>0.81954577930821149</v>
      </c>
      <c r="FD56" s="73">
        <f t="shared" si="688"/>
        <v>1.5687165986840179</v>
      </c>
      <c r="FE56" s="73">
        <f t="shared" ca="1" si="689"/>
        <v>0.15848452808586108</v>
      </c>
      <c r="FF56" s="73">
        <f t="shared" ca="1" si="690"/>
        <v>1.1493643498872613E-2</v>
      </c>
      <c r="FG56" s="73">
        <f t="shared" ca="1" si="691"/>
        <v>7.2522180162884919E-2</v>
      </c>
      <c r="FH56" s="73">
        <f t="shared" ca="1" si="692"/>
        <v>0.25770827821128361</v>
      </c>
      <c r="FI56" s="73">
        <f t="shared" ca="1" si="693"/>
        <v>8.907585606871353E-2</v>
      </c>
      <c r="FJ56" s="73">
        <f t="shared" ca="1" si="694"/>
        <v>0.34564607969513567</v>
      </c>
      <c r="FK56" s="73">
        <f t="shared" ca="1" si="695"/>
        <v>8.9075856068713516E-2</v>
      </c>
      <c r="FL56" s="73">
        <f t="shared" ca="1" si="696"/>
        <v>8.9075856068713433E-2</v>
      </c>
      <c r="FM56" s="73"/>
      <c r="FN56" s="73"/>
      <c r="FO56" s="73"/>
      <c r="FP56" s="73">
        <f t="shared" ca="1" si="697"/>
        <v>1.8364193723102913</v>
      </c>
      <c r="FQ56" s="73">
        <f t="shared" ca="1" si="698"/>
        <v>0.16358062768970871</v>
      </c>
      <c r="FR56" s="73">
        <f t="shared" si="479"/>
        <v>0.33333333333333331</v>
      </c>
      <c r="FS56" s="73">
        <f t="shared" ca="1" si="699"/>
        <v>5.4526875896569571E-2</v>
      </c>
      <c r="FT56" s="73">
        <f t="shared" ca="1" si="700"/>
        <v>0.61213979077009706</v>
      </c>
      <c r="FU56" s="73">
        <f t="shared" si="701"/>
        <v>20.026666666666664</v>
      </c>
      <c r="FV56" s="73">
        <f t="shared" ca="1" si="702"/>
        <v>3.9177560331685233</v>
      </c>
      <c r="FW56" s="73">
        <f t="shared" ca="1" si="703"/>
        <v>24.669233568034908</v>
      </c>
      <c r="FX56" s="73">
        <f t="shared" ca="1" si="704"/>
        <v>48.613656267870098</v>
      </c>
      <c r="FY56" s="73">
        <f t="shared" ca="1" si="705"/>
        <v>41.195557388886947</v>
      </c>
      <c r="FZ56" s="73">
        <f t="shared" ca="1" si="706"/>
        <v>8.0589618924792941</v>
      </c>
      <c r="GA56" s="73">
        <f t="shared" ca="1" si="707"/>
        <v>50.745480718633743</v>
      </c>
      <c r="GB56" s="73">
        <f t="shared" ca="1" si="708"/>
        <v>91.820968615514559</v>
      </c>
      <c r="GC56" s="73">
        <f t="shared" ca="1" si="709"/>
        <v>3295690238.0943637</v>
      </c>
      <c r="GD56" s="2">
        <f t="shared" si="152"/>
        <v>38</v>
      </c>
      <c r="GE56">
        <f t="shared" ca="1" si="710"/>
        <v>1502.8210404164602</v>
      </c>
      <c r="GF56">
        <f t="shared" ca="1" si="711"/>
        <v>1502.5597582042597</v>
      </c>
      <c r="GG56">
        <f t="shared" ca="1" si="712"/>
        <v>1840.0984514989225</v>
      </c>
      <c r="GH56" s="2">
        <f t="shared" ca="1" si="713"/>
        <v>0.40335685889326928</v>
      </c>
      <c r="GI56" s="2">
        <f t="shared" ca="1" si="714"/>
        <v>1.199701548095502</v>
      </c>
      <c r="GJ56" s="2">
        <f t="shared" ca="1" si="715"/>
        <v>-1.5888651838100243</v>
      </c>
      <c r="GK56" s="2">
        <f t="shared" ca="1" si="716"/>
        <v>1.394867945476427</v>
      </c>
      <c r="GL56" s="2">
        <f t="shared" ca="1" si="717"/>
        <v>-0.40335685889326928</v>
      </c>
      <c r="GM56">
        <f t="shared" ca="1" si="718"/>
        <v>0.37969309543189678</v>
      </c>
      <c r="GN56">
        <f t="shared" ca="1" si="719"/>
        <v>5.4739156289262077E-2</v>
      </c>
      <c r="GO56">
        <f t="shared" ca="1" si="720"/>
        <v>-0.16328369859959546</v>
      </c>
      <c r="GP56">
        <f t="shared" ca="1" si="721"/>
        <v>-0.14458603776843545</v>
      </c>
      <c r="GQ56">
        <f t="shared" ca="1" si="722"/>
        <v>0.28669417583844842</v>
      </c>
      <c r="GR56">
        <f t="shared" ca="1" si="723"/>
        <v>0.14416684671865546</v>
      </c>
      <c r="GS56">
        <f t="shared" ca="1" si="724"/>
        <v>3.6041495458102063E-2</v>
      </c>
      <c r="GT56">
        <f t="shared" ca="1" si="725"/>
        <v>2.8953058001283363E-3</v>
      </c>
      <c r="GU56">
        <f t="shared" ca="1" si="726"/>
        <v>0.46540085518975205</v>
      </c>
      <c r="GV56">
        <f t="shared" ca="1" si="727"/>
        <v>-0.3062463842308199</v>
      </c>
      <c r="GW56">
        <f t="shared" ca="1" si="728"/>
        <v>0.53884756639082898</v>
      </c>
      <c r="GY56" s="15">
        <f t="shared" si="729"/>
        <v>0.20797387774614384</v>
      </c>
      <c r="GZ56" s="2">
        <f t="shared" si="730"/>
        <v>7.3996781379965154E-2</v>
      </c>
      <c r="HA56" s="2">
        <f t="shared" si="731"/>
        <v>3.3087403233738877E-2</v>
      </c>
      <c r="HB56" s="2">
        <f t="shared" si="732"/>
        <v>0.31505806235984785</v>
      </c>
      <c r="HC56" s="2">
        <f t="shared" si="733"/>
        <v>0.66011285725677971</v>
      </c>
      <c r="HD56" s="2">
        <f t="shared" si="734"/>
        <v>0.23486712520769815</v>
      </c>
      <c r="HE56" s="2">
        <f t="shared" si="735"/>
        <v>0.10502001753552223</v>
      </c>
      <c r="HF56" s="2">
        <f t="shared" si="736"/>
        <v>-1.367303197508499</v>
      </c>
      <c r="HG56" s="2">
        <f t="shared" si="737"/>
        <v>-1.3612806887591999</v>
      </c>
      <c r="HH56" s="2">
        <f t="shared" si="738"/>
        <v>-1.3642919431338494</v>
      </c>
      <c r="HI56" s="2">
        <f t="shared" si="739"/>
        <v>1.7320651658017885</v>
      </c>
      <c r="HJ56" s="2">
        <f t="shared" si="740"/>
        <v>0.26701509274248003</v>
      </c>
      <c r="HK56" s="2">
        <f t="shared" si="741"/>
        <v>0.34343175710003554</v>
      </c>
      <c r="HL56" s="2">
        <f t="shared" si="742"/>
        <v>0.68179284806260987</v>
      </c>
    </row>
    <row r="57" spans="1:220" ht="20.25">
      <c r="A57" s="150" t="s">
        <v>327</v>
      </c>
      <c r="B57" s="77">
        <v>3500</v>
      </c>
      <c r="C57" s="95">
        <f t="shared" ca="1" si="554"/>
        <v>-3.7297519653169484</v>
      </c>
      <c r="D57" s="70">
        <f t="shared" ca="1" si="555"/>
        <v>-3.6503639952666882</v>
      </c>
      <c r="E57" s="71">
        <f t="shared" ca="1" si="556"/>
        <v>-3.7297519653169484</v>
      </c>
      <c r="F57" s="177">
        <v>47.067289292900504</v>
      </c>
      <c r="G57" s="177">
        <v>0.9448691867839395</v>
      </c>
      <c r="H57" s="177">
        <v>11.884452672164171</v>
      </c>
      <c r="I57" s="177">
        <v>11.507164385901547</v>
      </c>
      <c r="J57" s="177">
        <v>0.20041707351382693</v>
      </c>
      <c r="K57" s="177">
        <v>18.89</v>
      </c>
      <c r="L57" s="177">
        <v>7.6786157359580889</v>
      </c>
      <c r="M57" s="177">
        <v>1.4931429621073435</v>
      </c>
      <c r="N57" s="177">
        <v>0.2796034724817989</v>
      </c>
      <c r="O57" s="328">
        <v>0.01</v>
      </c>
      <c r="P57" s="177">
        <v>0.1</v>
      </c>
      <c r="Q57" s="84"/>
      <c r="R57" s="72">
        <f t="shared" si="557"/>
        <v>100.05555478181122</v>
      </c>
      <c r="S57" s="106">
        <f t="shared" ca="1" si="558"/>
        <v>2.6590037545500329</v>
      </c>
      <c r="T57" s="104">
        <f t="shared" ca="1" si="559"/>
        <v>0.34779947860720201</v>
      </c>
      <c r="U57" s="107">
        <f t="shared" ca="1" si="560"/>
        <v>1577.6356847554498</v>
      </c>
      <c r="V57" s="107">
        <f t="shared" ca="1" si="561"/>
        <v>1541.2734447326454</v>
      </c>
      <c r="W57" s="105">
        <f t="shared" ca="1" si="562"/>
        <v>1549.4193982233742</v>
      </c>
      <c r="X57" s="102">
        <f t="shared" ca="1" si="563"/>
        <v>1640.4913853123262</v>
      </c>
      <c r="Y57" s="102">
        <f t="shared" ca="1" si="564"/>
        <v>1549.1596936963676</v>
      </c>
      <c r="Z57" s="103">
        <f t="shared" ca="1" si="565"/>
        <v>1616.0634661635054</v>
      </c>
      <c r="AA57" s="103">
        <f t="shared" ca="1" si="566"/>
        <v>1597.0565216625373</v>
      </c>
      <c r="AB57" s="103">
        <f t="shared" ca="1" si="567"/>
        <v>50.960604937025785</v>
      </c>
      <c r="AC57" s="4">
        <v>13.3</v>
      </c>
      <c r="AD57" s="273">
        <f t="shared" ca="1" si="568"/>
        <v>12.044255708016703</v>
      </c>
      <c r="AE57" s="3">
        <f t="shared" ca="1" si="569"/>
        <v>114.85557069838008</v>
      </c>
      <c r="AF57" s="3">
        <f t="shared" ca="1" si="570"/>
        <v>213.68015263089779</v>
      </c>
      <c r="AG57" s="2">
        <f t="shared" ca="1" si="571"/>
        <v>537.51164665619092</v>
      </c>
      <c r="AH57" s="2">
        <f t="shared" ca="1" si="572"/>
        <v>87.808798078268893</v>
      </c>
      <c r="AI57" s="87">
        <f t="shared" si="573"/>
        <v>0.37109437895000613</v>
      </c>
      <c r="AJ57" s="87">
        <f t="shared" ca="1" si="574"/>
        <v>2.6590037545500329</v>
      </c>
      <c r="AK57" s="87">
        <f t="shared" ca="1" si="575"/>
        <v>0.28408250293940307</v>
      </c>
      <c r="AL57" s="86">
        <f t="shared" ca="1" si="576"/>
        <v>0.28037763763734513</v>
      </c>
      <c r="AM57" s="87">
        <f t="shared" ca="1" si="577"/>
        <v>0.34779947860720201</v>
      </c>
      <c r="AN57" s="87">
        <f t="shared" ca="1" si="578"/>
        <v>0.34779947860720228</v>
      </c>
      <c r="AO57" s="96">
        <f t="shared" ca="1" si="579"/>
        <v>41.095399690216794</v>
      </c>
      <c r="AP57" s="96">
        <f t="shared" ca="1" si="580"/>
        <v>8.5930515667671088</v>
      </c>
      <c r="AQ57" s="96">
        <f t="shared" ca="1" si="581"/>
        <v>50.311548743016104</v>
      </c>
      <c r="AR57" s="73"/>
      <c r="AS57" s="53">
        <f t="shared" ca="1" si="138"/>
        <v>78.404234711913574</v>
      </c>
      <c r="AT57" s="68">
        <f t="shared" ca="1" si="582"/>
        <v>91.257666593938566</v>
      </c>
      <c r="AU57" s="74">
        <f t="shared" ca="1" si="583"/>
        <v>0.34779947860720228</v>
      </c>
      <c r="AV57" s="68">
        <f t="shared" si="584"/>
        <v>2.3768706500127443</v>
      </c>
      <c r="AW57" s="68">
        <f t="shared" ca="1" si="585"/>
        <v>2.4046119713596914</v>
      </c>
      <c r="AX57" s="69">
        <f t="shared" ca="1" si="586"/>
        <v>1583.4978042059174</v>
      </c>
      <c r="AY57" s="69">
        <f t="shared" ca="1" si="587"/>
        <v>1577.6356847554498</v>
      </c>
      <c r="AZ57" s="69">
        <f t="shared" ca="1" si="588"/>
        <v>1541.2734447326454</v>
      </c>
      <c r="BA57" s="75"/>
      <c r="BB57" s="74">
        <f t="shared" ca="1" si="589"/>
        <v>0.1633616659741591</v>
      </c>
      <c r="BC57" s="74">
        <f t="shared" ca="1" si="590"/>
        <v>3.8618935072874416E-3</v>
      </c>
      <c r="BD57" s="68">
        <f t="shared" si="591"/>
        <v>6.414207162870772E-2</v>
      </c>
      <c r="BE57" s="68">
        <f t="shared" ca="1" si="592"/>
        <v>0.19958874464659071</v>
      </c>
      <c r="BF57" s="68">
        <f t="shared" ca="1" si="593"/>
        <v>0.19558864514919377</v>
      </c>
      <c r="BH57" s="68">
        <f t="shared" ca="1" si="594"/>
        <v>0.12389911181984942</v>
      </c>
      <c r="BI57" s="68">
        <f t="shared" ca="1" si="595"/>
        <v>0.19412720247214421</v>
      </c>
      <c r="BK57" s="53">
        <f t="shared" ca="1" si="596"/>
        <v>0.46098018561722592</v>
      </c>
      <c r="BL57" s="53">
        <f t="shared" si="597"/>
        <v>1.684111705575201E-2</v>
      </c>
      <c r="BM57" s="53">
        <f t="shared" si="598"/>
        <v>1.5961098381239144E-2</v>
      </c>
      <c r="BN57" s="53">
        <f t="shared" si="599"/>
        <v>0.3158995942459073</v>
      </c>
      <c r="BO57" s="53">
        <f t="shared" si="600"/>
        <v>0.40553663762134684</v>
      </c>
      <c r="BP57" s="53">
        <f t="shared" si="601"/>
        <v>0.41650410437750718</v>
      </c>
      <c r="BQ57" s="54">
        <f t="shared" si="602"/>
        <v>1423.822864</v>
      </c>
      <c r="BR57" s="262">
        <f t="shared" si="603"/>
        <v>4.2013714412216441</v>
      </c>
      <c r="BS57" s="54">
        <f t="shared" si="604"/>
        <v>1616.8406189113987</v>
      </c>
      <c r="BT57" s="67"/>
      <c r="BU57" s="73">
        <f t="shared" si="605"/>
        <v>0.78341027451565426</v>
      </c>
      <c r="BV57" s="73">
        <f t="shared" si="606"/>
        <v>1.1825646893416013E-2</v>
      </c>
      <c r="BW57" s="73">
        <f t="shared" si="607"/>
        <v>0.23311990333786134</v>
      </c>
      <c r="BX57" s="73">
        <f t="shared" si="608"/>
        <v>0.16015538463328527</v>
      </c>
      <c r="BY57" s="73">
        <f t="shared" si="609"/>
        <v>2.8251631451061028E-3</v>
      </c>
      <c r="BZ57" s="73">
        <f t="shared" si="610"/>
        <v>0.4687344913151365</v>
      </c>
      <c r="CA57" s="73">
        <f t="shared" si="611"/>
        <v>0.13692253452136394</v>
      </c>
      <c r="CB57" s="73">
        <f t="shared" si="612"/>
        <v>4.818144440488363E-2</v>
      </c>
      <c r="CC57" s="73">
        <f t="shared" si="613"/>
        <v>5.9363794582122905E-3</v>
      </c>
      <c r="CD57" s="73">
        <f t="shared" si="614"/>
        <v>1.3158760444766102E-4</v>
      </c>
      <c r="CE57" s="73">
        <f t="shared" si="615"/>
        <v>1.409046075806679E-3</v>
      </c>
      <c r="CF57" s="73">
        <f t="shared" si="616"/>
        <v>1.8526518559051739</v>
      </c>
      <c r="CG57" s="73">
        <f t="shared" si="617"/>
        <v>0.4228588722800774</v>
      </c>
      <c r="CH57" s="73">
        <f t="shared" si="618"/>
        <v>6.3830918128102406E-3</v>
      </c>
      <c r="CI57" s="73">
        <f t="shared" si="619"/>
        <v>0.12583038879906713</v>
      </c>
      <c r="CJ57" s="73">
        <f t="shared" si="620"/>
        <v>8.6446562597718116E-2</v>
      </c>
      <c r="CK57" s="73">
        <f t="shared" si="621"/>
        <v>1.5249293255509015E-3</v>
      </c>
      <c r="CL57" s="73">
        <f t="shared" si="622"/>
        <v>0.25300732559173716</v>
      </c>
      <c r="CM57" s="73">
        <f t="shared" si="623"/>
        <v>7.3906240983666049E-2</v>
      </c>
      <c r="CN57" s="73">
        <f t="shared" si="624"/>
        <v>2.6006745007870355E-2</v>
      </c>
      <c r="CO57" s="73">
        <f t="shared" si="625"/>
        <v>3.2042606598161301E-3</v>
      </c>
      <c r="CP57" s="73">
        <f t="shared" si="626"/>
        <v>7.1026622745248361E-5</v>
      </c>
      <c r="CQ57" s="73">
        <f t="shared" si="627"/>
        <v>7.6055631894112309E-4</v>
      </c>
      <c r="CR57" s="73"/>
      <c r="CS57" s="73">
        <f t="shared" ca="1" si="628"/>
        <v>0.68401131308616503</v>
      </c>
      <c r="CT57" s="73">
        <f t="shared" ca="1" si="629"/>
        <v>0.11959709905034251</v>
      </c>
      <c r="CU57" s="73">
        <f t="shared" ca="1" si="630"/>
        <v>1.2484255271219877</v>
      </c>
      <c r="CV57" s="73">
        <f t="shared" ca="1" si="631"/>
        <v>2.0520339392584952</v>
      </c>
      <c r="CW57" s="73">
        <f t="shared" ca="1" si="632"/>
        <v>0.33333333333333331</v>
      </c>
      <c r="CX57" s="73">
        <f t="shared" ca="1" si="633"/>
        <v>5.8282222707076205E-2</v>
      </c>
      <c r="CY57" s="73">
        <f t="shared" ca="1" si="634"/>
        <v>0.60838444395959046</v>
      </c>
      <c r="CZ57" s="73">
        <f t="shared" si="635"/>
        <v>0.41488505849867224</v>
      </c>
      <c r="DA57" s="73">
        <f t="shared" si="636"/>
        <v>0.4228588722800774</v>
      </c>
      <c r="DB57" s="73">
        <f t="shared" si="637"/>
        <v>-0.515507862441832</v>
      </c>
      <c r="DC57" s="73"/>
      <c r="DD57" s="73">
        <f t="shared" ca="1" si="638"/>
        <v>1583.4978042059174</v>
      </c>
      <c r="DE57" s="73">
        <f t="shared" ca="1" si="639"/>
        <v>14917.263354084556</v>
      </c>
      <c r="DF57" s="73">
        <f t="shared" si="640"/>
        <v>8.0345143113799242</v>
      </c>
      <c r="DG57" s="73">
        <f t="shared" si="641"/>
        <v>1693.0588800763255</v>
      </c>
      <c r="DH57" s="73">
        <f t="shared" si="642"/>
        <v>1419.9088800763257</v>
      </c>
      <c r="DI57" s="73">
        <f t="shared" si="449"/>
        <v>13602.905801982104</v>
      </c>
      <c r="DJ57" s="73">
        <f t="shared" si="643"/>
        <v>8.0345143113799242</v>
      </c>
      <c r="DK57" s="73">
        <f t="shared" si="644"/>
        <v>1693.0588800763255</v>
      </c>
      <c r="DL57" s="73">
        <f t="shared" ca="1" si="645"/>
        <v>2.6590037545500329</v>
      </c>
      <c r="DM57" s="73">
        <f t="shared" si="646"/>
        <v>-0.515507862441832</v>
      </c>
      <c r="DN57" s="73">
        <f t="shared" si="647"/>
        <v>0.41488505849867224</v>
      </c>
      <c r="DO57" s="73">
        <f t="shared" si="648"/>
        <v>0.4228588722800774</v>
      </c>
      <c r="DP57" s="73">
        <f t="shared" si="649"/>
        <v>2.3768706500127443</v>
      </c>
      <c r="DQ57" s="73">
        <f t="shared" ca="1" si="650"/>
        <v>14917.345555874077</v>
      </c>
      <c r="DR57" s="73">
        <f t="shared" si="651"/>
        <v>8.0342910842077888</v>
      </c>
      <c r="DS57" s="73">
        <f t="shared" ca="1" si="652"/>
        <v>1583.55962123785</v>
      </c>
      <c r="DT57" s="73">
        <f t="shared" si="653"/>
        <v>1419.9737974110949</v>
      </c>
      <c r="DU57" s="73">
        <f t="shared" ca="1" si="654"/>
        <v>1549.4193982233742</v>
      </c>
      <c r="DV57" s="76">
        <f t="shared" ca="1" si="655"/>
        <v>2.4046119713596914</v>
      </c>
      <c r="DW57" s="73">
        <f t="shared" ca="1" si="656"/>
        <v>2.9447125679414103</v>
      </c>
      <c r="DX57" s="73">
        <f t="shared" ca="1" si="657"/>
        <v>4576.4845168381617</v>
      </c>
      <c r="DY57" s="73">
        <f t="shared" ca="1" si="658"/>
        <v>1554.136239530329</v>
      </c>
      <c r="DZ57" s="73">
        <f t="shared" ca="1" si="659"/>
        <v>3.6978328931667299</v>
      </c>
      <c r="EA57" s="73"/>
      <c r="EB57" s="73">
        <f t="shared" si="660"/>
        <v>0.78341027451565426</v>
      </c>
      <c r="EC57" s="73">
        <f t="shared" si="661"/>
        <v>1.1825646893416013E-2</v>
      </c>
      <c r="ED57" s="73">
        <f t="shared" si="662"/>
        <v>0.11655995166893067</v>
      </c>
      <c r="EE57" s="73">
        <f t="shared" si="663"/>
        <v>0.16015538463328527</v>
      </c>
      <c r="EF57" s="73">
        <f t="shared" si="664"/>
        <v>2.8251631451061028E-3</v>
      </c>
      <c r="EG57" s="73">
        <f t="shared" si="665"/>
        <v>0.4687344913151365</v>
      </c>
      <c r="EH57" s="73">
        <f t="shared" si="666"/>
        <v>0.13692253452136394</v>
      </c>
      <c r="EI57" s="73">
        <f t="shared" si="667"/>
        <v>2.4090722202441815E-2</v>
      </c>
      <c r="EJ57" s="73">
        <f t="shared" si="668"/>
        <v>2.9681897291061452E-3</v>
      </c>
      <c r="EK57" s="73">
        <f t="shared" si="669"/>
        <v>6.5793802223830508E-5</v>
      </c>
      <c r="EL57" s="73">
        <f t="shared" si="670"/>
        <v>7.0452303790333951E-4</v>
      </c>
      <c r="EM57" s="73">
        <f t="shared" si="671"/>
        <v>1.7082626754645678</v>
      </c>
      <c r="EN57" s="73">
        <f t="shared" si="672"/>
        <v>0.45860059214991816</v>
      </c>
      <c r="EO57" s="73">
        <f t="shared" si="673"/>
        <v>6.9226162131066811E-3</v>
      </c>
      <c r="EP57" s="73">
        <f t="shared" si="674"/>
        <v>6.8233037777537225E-2</v>
      </c>
      <c r="EQ57" s="73">
        <f t="shared" si="675"/>
        <v>9.3753371149276246E-2</v>
      </c>
      <c r="ER57" s="73">
        <f t="shared" si="676"/>
        <v>1.6538224394195057E-3</v>
      </c>
      <c r="ES57" s="73">
        <f t="shared" si="677"/>
        <v>0.27439251471537457</v>
      </c>
      <c r="ET57" s="73">
        <f t="shared" si="678"/>
        <v>8.0153091493453954E-2</v>
      </c>
      <c r="EU57" s="73">
        <f t="shared" si="679"/>
        <v>1.4102469455343138E-2</v>
      </c>
      <c r="EV57" s="73">
        <f t="shared" si="680"/>
        <v>1.7375487808389514E-3</v>
      </c>
      <c r="EW57" s="73">
        <f t="shared" si="681"/>
        <v>3.8515038213275758E-5</v>
      </c>
      <c r="EX57" s="73">
        <f t="shared" si="682"/>
        <v>4.1242078751837276E-4</v>
      </c>
      <c r="EY57" s="73">
        <f t="shared" si="683"/>
        <v>1</v>
      </c>
      <c r="EZ57" s="73">
        <f t="shared" si="684"/>
        <v>0.12583038879906713</v>
      </c>
      <c r="FA57" s="73">
        <f t="shared" si="685"/>
        <v>0.55507235289195478</v>
      </c>
      <c r="FB57" s="73">
        <f t="shared" si="686"/>
        <v>1.4787280034483619</v>
      </c>
      <c r="FC57" s="73">
        <f t="shared" si="687"/>
        <v>0.73716659532890461</v>
      </c>
      <c r="FD57" s="73">
        <f t="shared" si="688"/>
        <v>1.3280549670475024</v>
      </c>
      <c r="FE57" s="73">
        <f t="shared" ca="1" si="689"/>
        <v>0.12023398431130206</v>
      </c>
      <c r="FF57" s="73">
        <f t="shared" ca="1" si="690"/>
        <v>9.0871684243571289E-3</v>
      </c>
      <c r="FG57" s="73">
        <f t="shared" ca="1" si="691"/>
        <v>7.5579034300561981E-2</v>
      </c>
      <c r="FH57" s="73">
        <f t="shared" ca="1" si="692"/>
        <v>0.27544131216173873</v>
      </c>
      <c r="FI57" s="73">
        <f t="shared" ca="1" si="693"/>
        <v>9.5798344756736376E-2</v>
      </c>
      <c r="FJ57" s="73">
        <f t="shared" ca="1" si="694"/>
        <v>0.34779947860720228</v>
      </c>
      <c r="FK57" s="73">
        <f t="shared" ca="1" si="695"/>
        <v>9.5798344756736376E-2</v>
      </c>
      <c r="FL57" s="73">
        <f t="shared" ca="1" si="696"/>
        <v>9.5798344756736292E-2</v>
      </c>
      <c r="FM57" s="73"/>
      <c r="FN57" s="73"/>
      <c r="FO57" s="73"/>
      <c r="FP57" s="73">
        <f t="shared" ca="1" si="697"/>
        <v>1.8251533318787714</v>
      </c>
      <c r="FQ57" s="73">
        <f t="shared" ca="1" si="698"/>
        <v>0.17484666812122862</v>
      </c>
      <c r="FR57" s="73">
        <f t="shared" si="479"/>
        <v>0.33333333333333331</v>
      </c>
      <c r="FS57" s="73">
        <f t="shared" ca="1" si="699"/>
        <v>5.8282222707076205E-2</v>
      </c>
      <c r="FT57" s="73">
        <f t="shared" ca="1" si="700"/>
        <v>0.60838444395959046</v>
      </c>
      <c r="FU57" s="73">
        <f t="shared" si="701"/>
        <v>20.026666666666664</v>
      </c>
      <c r="FV57" s="73">
        <f t="shared" ca="1" si="702"/>
        <v>4.1875777015034252</v>
      </c>
      <c r="FW57" s="73">
        <f t="shared" ca="1" si="703"/>
        <v>24.517893091571494</v>
      </c>
      <c r="FX57" s="73">
        <f t="shared" ca="1" si="704"/>
        <v>48.73213745974158</v>
      </c>
      <c r="FY57" s="73">
        <f t="shared" ca="1" si="705"/>
        <v>41.095399690216794</v>
      </c>
      <c r="FZ57" s="73">
        <f t="shared" ca="1" si="706"/>
        <v>8.5930515667671088</v>
      </c>
      <c r="GA57" s="73">
        <f t="shared" ca="1" si="707"/>
        <v>50.311548743016104</v>
      </c>
      <c r="GB57" s="73">
        <f t="shared" ca="1" si="708"/>
        <v>91.257666593938566</v>
      </c>
      <c r="GC57" s="73">
        <f t="shared" ca="1" si="709"/>
        <v>2659003754.5500331</v>
      </c>
      <c r="GD57" s="2">
        <f t="shared" si="152"/>
        <v>38</v>
      </c>
      <c r="GE57">
        <f t="shared" ca="1" si="710"/>
        <v>1437.6949443970245</v>
      </c>
      <c r="GF57">
        <f t="shared" ca="1" si="711"/>
        <v>1437.2947828456056</v>
      </c>
      <c r="GG57">
        <f t="shared" ca="1" si="712"/>
        <v>1806.4284333503044</v>
      </c>
      <c r="GH57" s="2">
        <f t="shared" ca="1" si="713"/>
        <v>0.38018994398902073</v>
      </c>
      <c r="GI57" s="2">
        <f t="shared" ca="1" si="714"/>
        <v>1.3919808661258899</v>
      </c>
      <c r="GJ57" s="2">
        <f t="shared" ca="1" si="715"/>
        <v>-1.9530498523973816</v>
      </c>
      <c r="GK57" s="2">
        <f t="shared" ca="1" si="716"/>
        <v>1.5674099825169407</v>
      </c>
      <c r="GL57" s="2">
        <f t="shared" ca="1" si="717"/>
        <v>-0.38018994398902073</v>
      </c>
      <c r="GM57">
        <f t="shared" ca="1" si="718"/>
        <v>0.41534545825744579</v>
      </c>
      <c r="GN57">
        <f t="shared" ca="1" si="719"/>
        <v>7.1652013266445796E-2</v>
      </c>
      <c r="GO57">
        <f t="shared" ca="1" si="720"/>
        <v>-0.18442938898419492</v>
      </c>
      <c r="GP57">
        <f t="shared" ca="1" si="721"/>
        <v>-0.12127967418534404</v>
      </c>
      <c r="GQ57">
        <f t="shared" ca="1" si="722"/>
        <v>0.2960256902899675</v>
      </c>
      <c r="GR57">
        <f t="shared" ca="1" si="723"/>
        <v>0.17251184969508765</v>
      </c>
      <c r="GS57">
        <f t="shared" ca="1" si="724"/>
        <v>8.5022984675949126E-3</v>
      </c>
      <c r="GT57">
        <f t="shared" ca="1" si="725"/>
        <v>1.8842862466161656E-3</v>
      </c>
      <c r="GU57">
        <f t="shared" ca="1" si="726"/>
        <v>0.37500264542826217</v>
      </c>
      <c r="GV57">
        <f t="shared" ca="1" si="727"/>
        <v>-0.32936791806848204</v>
      </c>
      <c r="GW57">
        <f t="shared" ca="1" si="728"/>
        <v>0.46098018561722592</v>
      </c>
      <c r="GY57" s="15">
        <f t="shared" si="729"/>
        <v>0.18750442074768878</v>
      </c>
      <c r="GZ57" s="2">
        <f t="shared" si="730"/>
        <v>7.5194169028857186E-2</v>
      </c>
      <c r="HA57" s="2">
        <f t="shared" si="731"/>
        <v>7.7027915983797379E-2</v>
      </c>
      <c r="HB57" s="2">
        <f t="shared" si="732"/>
        <v>0.33972650576034336</v>
      </c>
      <c r="HC57" s="2">
        <f t="shared" si="733"/>
        <v>0.55192755810452387</v>
      </c>
      <c r="HD57" s="2">
        <f t="shared" si="734"/>
        <v>0.22133736330217976</v>
      </c>
      <c r="HE57" s="2">
        <f t="shared" si="735"/>
        <v>0.22673507859329631</v>
      </c>
      <c r="HF57" s="2">
        <f t="shared" si="736"/>
        <v>-1.3030182971792452</v>
      </c>
      <c r="HG57" s="2">
        <f t="shared" si="737"/>
        <v>-1.3032768344646446</v>
      </c>
      <c r="HH57" s="2">
        <f t="shared" si="738"/>
        <v>-1.3031475658219449</v>
      </c>
      <c r="HI57" s="2">
        <f t="shared" si="739"/>
        <v>2.5482775188415197</v>
      </c>
      <c r="HJ57" s="2">
        <f t="shared" si="740"/>
        <v>0.16680333417146559</v>
      </c>
      <c r="HK57" s="2">
        <f t="shared" si="741"/>
        <v>0.34241155918988225</v>
      </c>
      <c r="HL57" s="2">
        <f t="shared" si="742"/>
        <v>0.69695710698510716</v>
      </c>
    </row>
    <row r="58" spans="1:220" ht="20.25">
      <c r="A58" s="150" t="s">
        <v>328</v>
      </c>
      <c r="B58" s="77">
        <v>3500</v>
      </c>
      <c r="C58" s="95">
        <f t="shared" ca="1" si="554"/>
        <v>-3.1181641412589287</v>
      </c>
      <c r="D58" s="70">
        <f t="shared" ca="1" si="555"/>
        <v>-2.8804474767783073</v>
      </c>
      <c r="E58" s="71">
        <f t="shared" ca="1" si="556"/>
        <v>-3.1181641412589265</v>
      </c>
      <c r="F58" s="177">
        <v>45.553811453206258</v>
      </c>
      <c r="G58" s="177">
        <v>2.4046666525920761</v>
      </c>
      <c r="H58" s="177">
        <v>10.461940712378791</v>
      </c>
      <c r="I58" s="177">
        <v>11.734394867268602</v>
      </c>
      <c r="J58" s="177">
        <v>0.1300211756818187</v>
      </c>
      <c r="K58" s="177">
        <v>19.37</v>
      </c>
      <c r="L58" s="177">
        <v>6.3588962615897033</v>
      </c>
      <c r="M58" s="177">
        <v>1.9198023443768089</v>
      </c>
      <c r="N58" s="177">
        <v>1.6598250003521702</v>
      </c>
      <c r="O58" s="328">
        <v>0.01</v>
      </c>
      <c r="P58" s="177">
        <v>0.4</v>
      </c>
      <c r="Q58" s="84"/>
      <c r="R58" s="72">
        <f t="shared" si="557"/>
        <v>100.00335846744625</v>
      </c>
      <c r="S58" s="106">
        <f t="shared" ca="1" si="558"/>
        <v>3.3076082415151191</v>
      </c>
      <c r="T58" s="104">
        <f t="shared" ca="1" si="559"/>
        <v>0.3456940098755879</v>
      </c>
      <c r="U58" s="107">
        <f t="shared" ca="1" si="560"/>
        <v>1648.8043681554859</v>
      </c>
      <c r="V58" s="107">
        <f t="shared" ca="1" si="561"/>
        <v>1590.167551257972</v>
      </c>
      <c r="W58" s="105">
        <f t="shared" ca="1" si="562"/>
        <v>1605.1100879368385</v>
      </c>
      <c r="X58" s="102">
        <f t="shared" ca="1" si="563"/>
        <v>1660.7184318996005</v>
      </c>
      <c r="Y58" s="102">
        <f t="shared" ca="1" si="564"/>
        <v>1546.1763616458209</v>
      </c>
      <c r="Z58" s="103">
        <f t="shared" ca="1" si="565"/>
        <v>1602.6554675967939</v>
      </c>
      <c r="AA58" s="103">
        <f t="shared" ca="1" si="566"/>
        <v>1595.3482054347551</v>
      </c>
      <c r="AB58" s="103">
        <f t="shared" ca="1" si="567"/>
        <v>57.737133591968089</v>
      </c>
      <c r="AC58" s="4">
        <v>13.3</v>
      </c>
      <c r="AD58" s="273">
        <f t="shared" ca="1" si="568"/>
        <v>12.405667989650672</v>
      </c>
      <c r="AE58" s="3">
        <f t="shared" ca="1" si="569"/>
        <v>118.09287317106819</v>
      </c>
      <c r="AF58" s="3">
        <f t="shared" ca="1" si="570"/>
        <v>214.03617921305747</v>
      </c>
      <c r="AG58" s="2">
        <f t="shared" ca="1" si="571"/>
        <v>551.74257737760922</v>
      </c>
      <c r="AH58" s="2">
        <f t="shared" ca="1" si="572"/>
        <v>46.213743860852553</v>
      </c>
      <c r="AI58" s="87">
        <f t="shared" si="573"/>
        <v>0.39384198896124056</v>
      </c>
      <c r="AJ58" s="87">
        <f t="shared" ca="1" si="574"/>
        <v>3.3076082415151076</v>
      </c>
      <c r="AK58" s="87">
        <f t="shared" ca="1" si="575"/>
        <v>0.27168305536919346</v>
      </c>
      <c r="AL58" s="86">
        <f t="shared" ca="1" si="576"/>
        <v>0.26424369800847858</v>
      </c>
      <c r="AM58" s="87">
        <f t="shared" ca="1" si="577"/>
        <v>0.34569400987558785</v>
      </c>
      <c r="AN58" s="87">
        <f t="shared" ca="1" si="578"/>
        <v>0.34569400987558707</v>
      </c>
      <c r="AO58" s="96">
        <f t="shared" ca="1" si="579"/>
        <v>41.184878843773689</v>
      </c>
      <c r="AP58" s="96">
        <f t="shared" ca="1" si="580"/>
        <v>8.1159051006113909</v>
      </c>
      <c r="AQ58" s="96">
        <f t="shared" ca="1" si="581"/>
        <v>50.699216055614912</v>
      </c>
      <c r="AR58" s="73"/>
      <c r="AS58" s="53">
        <f t="shared" ca="1" si="138"/>
        <v>79.382089056925267</v>
      </c>
      <c r="AT58" s="68">
        <f t="shared" ca="1" si="582"/>
        <v>91.761041348049972</v>
      </c>
      <c r="AU58" s="74">
        <f t="shared" ca="1" si="583"/>
        <v>0.34569400987558707</v>
      </c>
      <c r="AV58" s="68">
        <f t="shared" si="584"/>
        <v>2.3239081271612876</v>
      </c>
      <c r="AW58" s="68">
        <f t="shared" ca="1" si="585"/>
        <v>2.3618067355825336</v>
      </c>
      <c r="AX58" s="69">
        <f t="shared" ca="1" si="586"/>
        <v>1655.2212436737273</v>
      </c>
      <c r="AY58" s="69">
        <f t="shared" ca="1" si="587"/>
        <v>1648.8043681554873</v>
      </c>
      <c r="AZ58" s="69">
        <f t="shared" ca="1" si="588"/>
        <v>1590.1675512579727</v>
      </c>
      <c r="BA58" s="75"/>
      <c r="BB58" s="74">
        <f t="shared" ca="1" si="589"/>
        <v>8.3759611376200818E-2</v>
      </c>
      <c r="BC58" s="74">
        <f t="shared" ca="1" si="590"/>
        <v>0.11679306042644269</v>
      </c>
      <c r="BD58" s="68">
        <f t="shared" si="591"/>
        <v>0</v>
      </c>
      <c r="BE58" s="68">
        <f t="shared" ca="1" si="592"/>
        <v>0</v>
      </c>
      <c r="BF58" s="68">
        <f t="shared" ca="1" si="593"/>
        <v>0.16986811545866665</v>
      </c>
      <c r="BH58" s="68">
        <f t="shared" ca="1" si="594"/>
        <v>9.2535831011771846E-2</v>
      </c>
      <c r="BI58" s="68">
        <f t="shared" ca="1" si="595"/>
        <v>0.16517033004613579</v>
      </c>
      <c r="BK58" s="53">
        <f t="shared" ca="1" si="596"/>
        <v>0.57663967483388068</v>
      </c>
      <c r="BL58" s="53">
        <f t="shared" si="597"/>
        <v>2.3047451767249882E-2</v>
      </c>
      <c r="BM58" s="53">
        <f t="shared" si="598"/>
        <v>2.2793861463683177E-2</v>
      </c>
      <c r="BN58" s="53">
        <f t="shared" si="599"/>
        <v>0.33534650303869729</v>
      </c>
      <c r="BO58" s="53">
        <f t="shared" si="600"/>
        <v>0.36637388006864435</v>
      </c>
      <c r="BP58" s="53">
        <f t="shared" si="601"/>
        <v>0.34313258048507023</v>
      </c>
      <c r="BQ58" s="54">
        <f t="shared" si="602"/>
        <v>1432.5964959999999</v>
      </c>
      <c r="BR58" s="262">
        <f t="shared" si="603"/>
        <v>4.4564957536417493</v>
      </c>
      <c r="BS58" s="54">
        <f t="shared" si="604"/>
        <v>1634.8293711740762</v>
      </c>
      <c r="BT58" s="67"/>
      <c r="BU58" s="73">
        <f t="shared" si="605"/>
        <v>0.7582192319108898</v>
      </c>
      <c r="BV58" s="73">
        <f t="shared" si="606"/>
        <v>3.0095953098774417E-2</v>
      </c>
      <c r="BW58" s="73">
        <f t="shared" si="607"/>
        <v>0.20521656948565695</v>
      </c>
      <c r="BX58" s="73">
        <f t="shared" si="608"/>
        <v>0.16331795222364096</v>
      </c>
      <c r="BY58" s="73">
        <f t="shared" si="609"/>
        <v>1.8328330375221131E-3</v>
      </c>
      <c r="BZ58" s="73">
        <f t="shared" si="610"/>
        <v>0.48064516129032264</v>
      </c>
      <c r="CA58" s="73">
        <f t="shared" si="611"/>
        <v>0.11338973362321154</v>
      </c>
      <c r="CB58" s="73">
        <f t="shared" si="612"/>
        <v>6.1949091461013517E-2</v>
      </c>
      <c r="CC58" s="73">
        <f t="shared" si="613"/>
        <v>3.5240445867349687E-2</v>
      </c>
      <c r="CD58" s="73">
        <f t="shared" si="614"/>
        <v>1.3158760444766102E-4</v>
      </c>
      <c r="CE58" s="73">
        <f t="shared" si="615"/>
        <v>5.6361843032267161E-3</v>
      </c>
      <c r="CF58" s="73">
        <f t="shared" si="616"/>
        <v>1.8556747439060557</v>
      </c>
      <c r="CG58" s="73">
        <f t="shared" si="617"/>
        <v>0.40859489757073236</v>
      </c>
      <c r="CH58" s="73">
        <f t="shared" si="618"/>
        <v>1.6218334165299195E-2</v>
      </c>
      <c r="CI58" s="73">
        <f t="shared" si="619"/>
        <v>0.11058865254246632</v>
      </c>
      <c r="CJ58" s="73">
        <f t="shared" si="620"/>
        <v>8.8010009706695133E-2</v>
      </c>
      <c r="CK58" s="73">
        <f t="shared" si="621"/>
        <v>9.8769088901007373E-4</v>
      </c>
      <c r="CL58" s="73">
        <f t="shared" si="622"/>
        <v>0.25901368915470646</v>
      </c>
      <c r="CM58" s="73">
        <f t="shared" si="623"/>
        <v>6.1104314748895425E-2</v>
      </c>
      <c r="CN58" s="73">
        <f t="shared" si="624"/>
        <v>3.3383593576649828E-2</v>
      </c>
      <c r="CO58" s="73">
        <f t="shared" si="625"/>
        <v>1.8990637224048867E-2</v>
      </c>
      <c r="CP58" s="73">
        <f t="shared" si="626"/>
        <v>7.0910920612455501E-5</v>
      </c>
      <c r="CQ58" s="73">
        <f t="shared" si="627"/>
        <v>3.0372695008840677E-3</v>
      </c>
      <c r="CR58" s="73"/>
      <c r="CS58" s="73">
        <f t="shared" ca="1" si="628"/>
        <v>0.68550064653418263</v>
      </c>
      <c r="CT58" s="73">
        <f t="shared" ca="1" si="629"/>
        <v>0.11295622965360322</v>
      </c>
      <c r="CU58" s="73">
        <f t="shared" ca="1" si="630"/>
        <v>1.2580450634147622</v>
      </c>
      <c r="CV58" s="73">
        <f t="shared" ca="1" si="631"/>
        <v>2.0565019396025481</v>
      </c>
      <c r="CW58" s="73">
        <f t="shared" ca="1" si="632"/>
        <v>0.33333333333333331</v>
      </c>
      <c r="CX58" s="73">
        <f t="shared" ca="1" si="633"/>
        <v>5.4926391013000363E-2</v>
      </c>
      <c r="CY58" s="73">
        <f t="shared" ca="1" si="634"/>
        <v>0.61174027565366629</v>
      </c>
      <c r="CZ58" s="73">
        <f t="shared" si="635"/>
        <v>0.40911570449930712</v>
      </c>
      <c r="DA58" s="73">
        <f t="shared" si="636"/>
        <v>0.40859489757073236</v>
      </c>
      <c r="DB58" s="73">
        <f t="shared" si="637"/>
        <v>-0.52464308456605635</v>
      </c>
      <c r="DC58" s="73"/>
      <c r="DD58" s="73">
        <f t="shared" ca="1" si="638"/>
        <v>1655.2212436737273</v>
      </c>
      <c r="DE58" s="73">
        <f t="shared" ca="1" si="639"/>
        <v>15237.883536109301</v>
      </c>
      <c r="DF58" s="73">
        <f t="shared" si="640"/>
        <v>7.9019450150478798</v>
      </c>
      <c r="DG58" s="73">
        <f t="shared" si="641"/>
        <v>1721.4629785549932</v>
      </c>
      <c r="DH58" s="73">
        <f t="shared" si="642"/>
        <v>1448.3129785549932</v>
      </c>
      <c r="DI58" s="73">
        <f t="shared" si="449"/>
        <v>13602.905801982104</v>
      </c>
      <c r="DJ58" s="73">
        <f t="shared" si="643"/>
        <v>7.9019450150478798</v>
      </c>
      <c r="DK58" s="73">
        <f t="shared" si="644"/>
        <v>1721.4629785549932</v>
      </c>
      <c r="DL58" s="73">
        <f t="shared" ca="1" si="645"/>
        <v>3.3076082415151191</v>
      </c>
      <c r="DM58" s="73">
        <f t="shared" si="646"/>
        <v>-0.52464308456605635</v>
      </c>
      <c r="DN58" s="73">
        <f t="shared" si="647"/>
        <v>0.40911570449930712</v>
      </c>
      <c r="DO58" s="73">
        <f t="shared" si="648"/>
        <v>0.40859489757073236</v>
      </c>
      <c r="DP58" s="73">
        <f t="shared" si="649"/>
        <v>2.3239081271612876</v>
      </c>
      <c r="DQ58" s="73">
        <f t="shared" ca="1" si="650"/>
        <v>15237.950753780919</v>
      </c>
      <c r="DR58" s="73">
        <f t="shared" si="651"/>
        <v>7.9017217878757444</v>
      </c>
      <c r="DS58" s="73">
        <f t="shared" ca="1" si="652"/>
        <v>1655.2842277352447</v>
      </c>
      <c r="DT58" s="73">
        <f t="shared" si="653"/>
        <v>1448.3797874536995</v>
      </c>
      <c r="DU58" s="73">
        <f t="shared" ca="1" si="654"/>
        <v>1605.1100879368385</v>
      </c>
      <c r="DV58" s="76">
        <f t="shared" ca="1" si="655"/>
        <v>2.3618067355825332</v>
      </c>
      <c r="DW58" s="73">
        <f t="shared" ca="1" si="656"/>
        <v>2.8343289533833187</v>
      </c>
      <c r="DX58" s="73">
        <f t="shared" ca="1" si="657"/>
        <v>4612.2161380250682</v>
      </c>
      <c r="DY58" s="73">
        <f t="shared" ca="1" si="658"/>
        <v>1627.2691751320883</v>
      </c>
      <c r="DZ58" s="73">
        <f t="shared" ca="1" si="659"/>
        <v>3.6948591485431712</v>
      </c>
      <c r="EA58" s="73"/>
      <c r="EB58" s="73">
        <f t="shared" si="660"/>
        <v>0.7582192319108898</v>
      </c>
      <c r="EC58" s="73">
        <f t="shared" si="661"/>
        <v>3.0095953098774417E-2</v>
      </c>
      <c r="ED58" s="73">
        <f t="shared" si="662"/>
        <v>0.10260828474282847</v>
      </c>
      <c r="EE58" s="73">
        <f t="shared" si="663"/>
        <v>0.16331795222364096</v>
      </c>
      <c r="EF58" s="73">
        <f t="shared" si="664"/>
        <v>1.8328330375221131E-3</v>
      </c>
      <c r="EG58" s="73">
        <f t="shared" si="665"/>
        <v>0.48064516129032264</v>
      </c>
      <c r="EH58" s="73">
        <f t="shared" si="666"/>
        <v>0.11338973362321154</v>
      </c>
      <c r="EI58" s="73">
        <f t="shared" si="667"/>
        <v>3.0974545730506758E-2</v>
      </c>
      <c r="EJ58" s="73">
        <f t="shared" si="668"/>
        <v>1.7620222933674844E-2</v>
      </c>
      <c r="EK58" s="73">
        <f t="shared" si="669"/>
        <v>6.5793802223830508E-5</v>
      </c>
      <c r="EL58" s="73">
        <f t="shared" si="670"/>
        <v>2.8180921516133581E-3</v>
      </c>
      <c r="EM58" s="73">
        <f t="shared" si="671"/>
        <v>1.7015878045452089</v>
      </c>
      <c r="EN58" s="73">
        <f t="shared" si="672"/>
        <v>0.44559512584984851</v>
      </c>
      <c r="EO58" s="73">
        <f t="shared" si="673"/>
        <v>1.7686982134206292E-2</v>
      </c>
      <c r="EP58" s="73">
        <f t="shared" si="674"/>
        <v>6.0301492799105398E-2</v>
      </c>
      <c r="EQ58" s="73">
        <f t="shared" si="675"/>
        <v>9.5979738328749772E-2</v>
      </c>
      <c r="ER58" s="73">
        <f t="shared" si="676"/>
        <v>1.0771310376263437E-3</v>
      </c>
      <c r="ES58" s="73">
        <f t="shared" si="677"/>
        <v>0.28246862137025414</v>
      </c>
      <c r="ET58" s="73">
        <f t="shared" si="678"/>
        <v>6.6637603607835993E-2</v>
      </c>
      <c r="EU58" s="73">
        <f t="shared" si="679"/>
        <v>1.8203319069265114E-2</v>
      </c>
      <c r="EV58" s="73">
        <f t="shared" si="680"/>
        <v>1.035516526776253E-2</v>
      </c>
      <c r="EW58" s="73">
        <f t="shared" si="681"/>
        <v>3.866612234060735E-5</v>
      </c>
      <c r="EX58" s="73">
        <f t="shared" si="682"/>
        <v>1.6561544130051886E-3</v>
      </c>
      <c r="EY58" s="73">
        <f t="shared" si="683"/>
        <v>0.99999999999999967</v>
      </c>
      <c r="EZ58" s="73">
        <f t="shared" si="684"/>
        <v>0.11058865254246632</v>
      </c>
      <c r="FA58" s="73">
        <f t="shared" si="685"/>
        <v>0.53540188427849789</v>
      </c>
      <c r="FB58" s="73">
        <f t="shared" si="686"/>
        <v>1.4585118023185479</v>
      </c>
      <c r="FC58" s="73">
        <f t="shared" si="687"/>
        <v>0.77541606752310432</v>
      </c>
      <c r="FD58" s="73">
        <f t="shared" si="688"/>
        <v>1.4482878941826047</v>
      </c>
      <c r="FE58" s="73">
        <f t="shared" ca="1" si="689"/>
        <v>0.15411968663959483</v>
      </c>
      <c r="FF58" s="73">
        <f t="shared" ca="1" si="690"/>
        <v>1.1307079955787573E-2</v>
      </c>
      <c r="FG58" s="73">
        <f t="shared" ca="1" si="691"/>
        <v>7.3365578417174629E-2</v>
      </c>
      <c r="FH58" s="73">
        <f t="shared" ca="1" si="692"/>
        <v>0.25973001199665474</v>
      </c>
      <c r="FI58" s="73">
        <f t="shared" ca="1" si="693"/>
        <v>8.9787109332158249E-2</v>
      </c>
      <c r="FJ58" s="73">
        <f t="shared" ca="1" si="694"/>
        <v>0.34569400987558835</v>
      </c>
      <c r="FK58" s="73">
        <f t="shared" ca="1" si="695"/>
        <v>8.9787109332158277E-2</v>
      </c>
      <c r="FL58" s="73">
        <f t="shared" ca="1" si="696"/>
        <v>8.978710933215811E-2</v>
      </c>
      <c r="FM58" s="73"/>
      <c r="FN58" s="73"/>
      <c r="FO58" s="73"/>
      <c r="FP58" s="73">
        <f t="shared" ca="1" si="697"/>
        <v>1.8352208269609993</v>
      </c>
      <c r="FQ58" s="73">
        <f t="shared" ca="1" si="698"/>
        <v>0.16477917303900069</v>
      </c>
      <c r="FR58" s="73">
        <f t="shared" si="479"/>
        <v>0.33333333333333331</v>
      </c>
      <c r="FS58" s="73">
        <f t="shared" ca="1" si="699"/>
        <v>5.4926391013000231E-2</v>
      </c>
      <c r="FT58" s="73">
        <f t="shared" ca="1" si="700"/>
        <v>0.6117402756536664</v>
      </c>
      <c r="FU58" s="73">
        <f t="shared" si="701"/>
        <v>20.026666666666664</v>
      </c>
      <c r="FV58" s="73">
        <f t="shared" ca="1" si="702"/>
        <v>3.9464611942840664</v>
      </c>
      <c r="FW58" s="73">
        <f t="shared" ca="1" si="703"/>
        <v>24.653133108842756</v>
      </c>
      <c r="FX58" s="73">
        <f t="shared" ca="1" si="704"/>
        <v>48.626260969793485</v>
      </c>
      <c r="FY58" s="73">
        <f t="shared" ca="1" si="705"/>
        <v>41.184878843773696</v>
      </c>
      <c r="FZ58" s="73">
        <f t="shared" ca="1" si="706"/>
        <v>8.1159051006113714</v>
      </c>
      <c r="GA58" s="73">
        <f t="shared" ca="1" si="707"/>
        <v>50.699216055614933</v>
      </c>
      <c r="GB58" s="73">
        <f t="shared" ca="1" si="708"/>
        <v>91.761041348049972</v>
      </c>
      <c r="GC58" s="73">
        <f t="shared" ca="1" si="709"/>
        <v>3307608241.5151191</v>
      </c>
      <c r="GD58" s="2">
        <f t="shared" si="152"/>
        <v>38</v>
      </c>
      <c r="GE58">
        <f t="shared" ca="1" si="710"/>
        <v>1504.0003862618967</v>
      </c>
      <c r="GF58">
        <f t="shared" ca="1" si="711"/>
        <v>1503.7419855836145</v>
      </c>
      <c r="GG58">
        <f t="shared" ca="1" si="712"/>
        <v>1840.7035986490657</v>
      </c>
      <c r="GH58" s="2">
        <f t="shared" ca="1" si="713"/>
        <v>0.43050121125724378</v>
      </c>
      <c r="GI58" s="2">
        <f t="shared" ca="1" si="714"/>
        <v>1.1961023110624338</v>
      </c>
      <c r="GJ58" s="2">
        <f t="shared" ca="1" si="715"/>
        <v>-1.5820480858533523</v>
      </c>
      <c r="GK58" s="2">
        <f t="shared" ca="1" si="716"/>
        <v>1.3916381665494024</v>
      </c>
      <c r="GL58" s="2">
        <f t="shared" ca="1" si="717"/>
        <v>-0.43050121125724378</v>
      </c>
      <c r="GM58">
        <f t="shared" ca="1" si="718"/>
        <v>0.37894143364772165</v>
      </c>
      <c r="GN58">
        <f t="shared" ca="1" si="719"/>
        <v>5.4414705311506321E-2</v>
      </c>
      <c r="GO58">
        <f t="shared" ca="1" si="720"/>
        <v>-0.16284862525264091</v>
      </c>
      <c r="GP58">
        <f t="shared" ca="1" si="721"/>
        <v>-0.15467426145859489</v>
      </c>
      <c r="GQ58">
        <f t="shared" ca="1" si="722"/>
        <v>0.28649743872915756</v>
      </c>
      <c r="GR58">
        <f t="shared" ca="1" si="723"/>
        <v>0.14359661013499064</v>
      </c>
      <c r="GS58">
        <f t="shared" ca="1" si="724"/>
        <v>4.6240341517460315E-2</v>
      </c>
      <c r="GT58">
        <f t="shared" ca="1" si="725"/>
        <v>2.9181273499921689E-3</v>
      </c>
      <c r="GU58">
        <f t="shared" ca="1" si="726"/>
        <v>0.48958173663145244</v>
      </c>
      <c r="GV58">
        <f t="shared" ca="1" si="727"/>
        <v>-0.29188349544529657</v>
      </c>
      <c r="GW58">
        <f t="shared" ca="1" si="728"/>
        <v>0.57663967483387757</v>
      </c>
      <c r="GY58" s="15">
        <f t="shared" si="729"/>
        <v>0.23510833249508462</v>
      </c>
      <c r="GZ58" s="2">
        <f t="shared" si="730"/>
        <v>7.8027141055652297E-2</v>
      </c>
      <c r="HA58" s="2">
        <f t="shared" si="731"/>
        <v>7.1095938401261036E-2</v>
      </c>
      <c r="HB58" s="2">
        <f t="shared" si="732"/>
        <v>0.38423141195199795</v>
      </c>
      <c r="HC58" s="2">
        <f t="shared" si="733"/>
        <v>0.61189253450328707</v>
      </c>
      <c r="HD58" s="2">
        <f t="shared" si="734"/>
        <v>0.20307330069463511</v>
      </c>
      <c r="HE58" s="2">
        <f t="shared" si="735"/>
        <v>0.18503416480207779</v>
      </c>
      <c r="HF58" s="2">
        <f t="shared" si="736"/>
        <v>-1.3560924279023732</v>
      </c>
      <c r="HG58" s="2">
        <f t="shared" si="737"/>
        <v>-1.3473560916797773</v>
      </c>
      <c r="HH58" s="2">
        <f t="shared" si="738"/>
        <v>-1.3517242597910752</v>
      </c>
      <c r="HI58" s="2">
        <f t="shared" si="739"/>
        <v>2.2658338216478269</v>
      </c>
      <c r="HJ58" s="2">
        <f t="shared" si="740"/>
        <v>0.20293497898465229</v>
      </c>
      <c r="HK58" s="2">
        <f t="shared" si="741"/>
        <v>0.34330487797207276</v>
      </c>
      <c r="HL58" s="2">
        <f t="shared" si="742"/>
        <v>0.68346089344331085</v>
      </c>
    </row>
    <row r="59" spans="1:220" ht="20.25">
      <c r="A59" s="296" t="s">
        <v>329</v>
      </c>
      <c r="B59" s="77">
        <v>3500</v>
      </c>
      <c r="C59" s="95">
        <f t="shared" ca="1" si="554"/>
        <v>-3.0712864739304093</v>
      </c>
      <c r="D59" s="70">
        <f t="shared" ca="1" si="555"/>
        <v>-2.8251849172815469</v>
      </c>
      <c r="E59" s="71">
        <f t="shared" ca="1" si="556"/>
        <v>-3.0712864739304147</v>
      </c>
      <c r="F59" s="325">
        <v>45.313605994191988</v>
      </c>
      <c r="G59" s="325">
        <v>2.47820033945478</v>
      </c>
      <c r="H59" s="325">
        <v>9.1569604645892522</v>
      </c>
      <c r="I59" s="325">
        <v>11.963404407531314</v>
      </c>
      <c r="J59" s="325">
        <v>0.1615594297990452</v>
      </c>
      <c r="K59" s="325">
        <v>20.54</v>
      </c>
      <c r="L59" s="325">
        <v>8.0398833688128111</v>
      </c>
      <c r="M59" s="325">
        <v>1.8043892548289158</v>
      </c>
      <c r="N59" s="325">
        <v>0.65811498246881284</v>
      </c>
      <c r="O59" s="328">
        <v>0.01</v>
      </c>
      <c r="P59" s="329"/>
      <c r="Q59" s="84"/>
      <c r="R59" s="72">
        <f t="shared" si="557"/>
        <v>100.12611824167693</v>
      </c>
      <c r="S59" s="106">
        <f t="shared" ca="1" si="558"/>
        <v>3.3443802533538403</v>
      </c>
      <c r="T59" s="104">
        <f t="shared" ca="1" si="559"/>
        <v>0.34783785146821922</v>
      </c>
      <c r="U59" s="107">
        <f t="shared" ca="1" si="560"/>
        <v>1655.0797744221138</v>
      </c>
      <c r="V59" s="107">
        <f t="shared" ca="1" si="561"/>
        <v>1602.3246095700943</v>
      </c>
      <c r="W59" s="105">
        <f t="shared" ca="1" si="562"/>
        <v>1610.407321307031</v>
      </c>
      <c r="X59" s="102">
        <f t="shared" ca="1" si="563"/>
        <v>1692.5458739646497</v>
      </c>
      <c r="Y59" s="102">
        <f t="shared" ca="1" si="564"/>
        <v>1607.796245276455</v>
      </c>
      <c r="Z59" s="103">
        <f t="shared" ca="1" si="565"/>
        <v>1665.1897703950551</v>
      </c>
      <c r="AA59" s="103">
        <f t="shared" ca="1" si="566"/>
        <v>1648.8908357070782</v>
      </c>
      <c r="AB59" s="103">
        <f t="shared" ca="1" si="567"/>
        <v>46.221936211093286</v>
      </c>
      <c r="AC59" s="4">
        <v>13.3</v>
      </c>
      <c r="AD59" s="273">
        <f t="shared" ca="1" si="568"/>
        <v>12.495442354918202</v>
      </c>
      <c r="AE59" s="3">
        <f t="shared" ca="1" si="569"/>
        <v>118.84139049424209</v>
      </c>
      <c r="AF59" s="3">
        <f t="shared" ca="1" si="570"/>
        <v>214.12300237670604</v>
      </c>
      <c r="AG59" s="2">
        <f t="shared" ca="1" si="571"/>
        <v>555.0145905630668</v>
      </c>
      <c r="AH59" s="2">
        <f t="shared" ca="1" si="572"/>
        <v>88.35573680569297</v>
      </c>
      <c r="AI59" s="87">
        <f t="shared" si="573"/>
        <v>0.42045541469752029</v>
      </c>
      <c r="AJ59" s="87">
        <f t="shared" ca="1" si="574"/>
        <v>3.3443802533538629</v>
      </c>
      <c r="AK59" s="87">
        <f t="shared" ca="1" si="575"/>
        <v>0.28153359538784095</v>
      </c>
      <c r="AL59" s="86">
        <f t="shared" ca="1" si="576"/>
        <v>0.26601898290994025</v>
      </c>
      <c r="AM59" s="87">
        <f t="shared" ca="1" si="577"/>
        <v>0.34783785146821922</v>
      </c>
      <c r="AN59" s="87">
        <f t="shared" ca="1" si="578"/>
        <v>0.34783785146821927</v>
      </c>
      <c r="AO59" s="96">
        <f t="shared" ca="1" si="579"/>
        <v>41.228269371403279</v>
      </c>
      <c r="AP59" s="96">
        <f t="shared" ca="1" si="580"/>
        <v>7.8845256552311263</v>
      </c>
      <c r="AQ59" s="96">
        <f t="shared" ca="1" si="581"/>
        <v>50.887204973365591</v>
      </c>
      <c r="AR59" s="73"/>
      <c r="AS59" s="53">
        <f t="shared" ca="1" si="138"/>
        <v>80.01000429950534</v>
      </c>
      <c r="AT59" s="68">
        <f t="shared" ca="1" si="582"/>
        <v>92.00435282685244</v>
      </c>
      <c r="AU59" s="74">
        <f t="shared" ca="1" si="583"/>
        <v>0.34783785146821927</v>
      </c>
      <c r="AV59" s="68">
        <f t="shared" si="584"/>
        <v>2.2028593834817838</v>
      </c>
      <c r="AW59" s="68">
        <f t="shared" ca="1" si="585"/>
        <v>2.2371929074003369</v>
      </c>
      <c r="AX59" s="69">
        <f t="shared" ca="1" si="586"/>
        <v>1661.7839727812843</v>
      </c>
      <c r="AY59" s="69">
        <f t="shared" ca="1" si="587"/>
        <v>1655.0797744221122</v>
      </c>
      <c r="AZ59" s="69">
        <f t="shared" ca="1" si="588"/>
        <v>1602.3246095700931</v>
      </c>
      <c r="BA59" s="75"/>
      <c r="BB59" s="74">
        <f t="shared" ca="1" si="589"/>
        <v>0.15919534064150723</v>
      </c>
      <c r="BC59" s="74">
        <f t="shared" ca="1" si="590"/>
        <v>1.6960981510683548E-2</v>
      </c>
      <c r="BD59" s="68">
        <f t="shared" si="591"/>
        <v>7.4079627874783865E-2</v>
      </c>
      <c r="BE59" s="68">
        <f t="shared" ca="1" si="592"/>
        <v>0.17577852361384</v>
      </c>
      <c r="BF59" s="68">
        <f t="shared" ca="1" si="593"/>
        <v>0.1871582373799997</v>
      </c>
      <c r="BH59" s="68">
        <f t="shared" ca="1" si="594"/>
        <v>0.12698769375655722</v>
      </c>
      <c r="BI59" s="68">
        <f t="shared" ca="1" si="595"/>
        <v>0.19976497369740709</v>
      </c>
      <c r="BK59" s="53">
        <f t="shared" ca="1" si="596"/>
        <v>0.59142917792200844</v>
      </c>
      <c r="BL59" s="53">
        <f t="shared" si="597"/>
        <v>9.0755392997345918E-2</v>
      </c>
      <c r="BM59" s="53">
        <f t="shared" si="598"/>
        <v>0.125994188577019</v>
      </c>
      <c r="BN59" s="53">
        <f t="shared" si="599"/>
        <v>0.31880791496170757</v>
      </c>
      <c r="BO59" s="53">
        <f t="shared" si="600"/>
        <v>0.23183751675266573</v>
      </c>
      <c r="BP59" s="53">
        <f t="shared" si="601"/>
        <v>0.19612373602365529</v>
      </c>
      <c r="BQ59" s="54">
        <f t="shared" si="602"/>
        <v>1453.6733439999998</v>
      </c>
      <c r="BR59" s="262">
        <f t="shared" si="603"/>
        <v>5.1518991498541222</v>
      </c>
      <c r="BS59" s="54">
        <f t="shared" si="604"/>
        <v>1679.8775171773163</v>
      </c>
      <c r="BT59" s="67"/>
      <c r="BU59" s="73">
        <f t="shared" si="605"/>
        <v>0.75422113838535265</v>
      </c>
      <c r="BV59" s="73">
        <f t="shared" si="606"/>
        <v>3.1016274586417772E-2</v>
      </c>
      <c r="BW59" s="73">
        <f t="shared" si="607"/>
        <v>0.17961868310296691</v>
      </c>
      <c r="BX59" s="73">
        <f t="shared" si="608"/>
        <v>0.16650528055019229</v>
      </c>
      <c r="BY59" s="73">
        <f t="shared" si="609"/>
        <v>2.2774094981540061E-3</v>
      </c>
      <c r="BZ59" s="73">
        <f t="shared" si="610"/>
        <v>0.50967741935483868</v>
      </c>
      <c r="CA59" s="73">
        <f t="shared" si="611"/>
        <v>0.14336453938681903</v>
      </c>
      <c r="CB59" s="73">
        <f t="shared" si="612"/>
        <v>5.8224887216163791E-2</v>
      </c>
      <c r="CC59" s="73">
        <f t="shared" si="613"/>
        <v>1.3972717249868637E-2</v>
      </c>
      <c r="CD59" s="73">
        <f t="shared" si="614"/>
        <v>1.3158760444766102E-4</v>
      </c>
      <c r="CE59" s="73">
        <f t="shared" si="615"/>
        <v>0</v>
      </c>
      <c r="CF59" s="73">
        <f t="shared" si="616"/>
        <v>1.8590099369352213</v>
      </c>
      <c r="CG59" s="73">
        <f t="shared" si="617"/>
        <v>0.40571119250108351</v>
      </c>
      <c r="CH59" s="73">
        <f t="shared" si="618"/>
        <v>1.6684297361826615E-2</v>
      </c>
      <c r="CI59" s="73">
        <f t="shared" si="619"/>
        <v>9.6620614841407312E-2</v>
      </c>
      <c r="CJ59" s="73">
        <f t="shared" si="620"/>
        <v>8.9566643642956648E-2</v>
      </c>
      <c r="CK59" s="73">
        <f t="shared" si="621"/>
        <v>1.2250658013741238E-3</v>
      </c>
      <c r="CL59" s="73">
        <f t="shared" si="622"/>
        <v>0.27416605432195645</v>
      </c>
      <c r="CM59" s="73">
        <f t="shared" si="623"/>
        <v>7.7118759043951629E-2</v>
      </c>
      <c r="CN59" s="73">
        <f t="shared" si="624"/>
        <v>3.1320374388183102E-2</v>
      </c>
      <c r="CO59" s="73">
        <f t="shared" si="625"/>
        <v>7.5162143957681962E-3</v>
      </c>
      <c r="CP59" s="73">
        <f t="shared" si="626"/>
        <v>7.0783701492525312E-5</v>
      </c>
      <c r="CQ59" s="73">
        <f t="shared" si="627"/>
        <v>0</v>
      </c>
      <c r="CR59" s="73"/>
      <c r="CS59" s="73">
        <f t="shared" ca="1" si="628"/>
        <v>0.68622285904466174</v>
      </c>
      <c r="CT59" s="73">
        <f t="shared" ca="1" si="629"/>
        <v>0.10973591726139355</v>
      </c>
      <c r="CU59" s="73">
        <f t="shared" ca="1" si="630"/>
        <v>1.2627098008279305</v>
      </c>
      <c r="CV59" s="73">
        <f t="shared" ca="1" si="631"/>
        <v>2.0586685771339859</v>
      </c>
      <c r="CW59" s="73">
        <f t="shared" ca="1" si="632"/>
        <v>0.3333333333333332</v>
      </c>
      <c r="CX59" s="73">
        <f t="shared" ca="1" si="633"/>
        <v>5.3304314487650301E-2</v>
      </c>
      <c r="CY59" s="73">
        <f t="shared" ca="1" si="634"/>
        <v>0.61336235217901647</v>
      </c>
      <c r="CZ59" s="73">
        <f t="shared" si="635"/>
        <v>0.44207652281023885</v>
      </c>
      <c r="DA59" s="73">
        <f t="shared" si="636"/>
        <v>0.40571119250108351</v>
      </c>
      <c r="DB59" s="73">
        <f t="shared" si="637"/>
        <v>-0.47341969916782273</v>
      </c>
      <c r="DC59" s="73"/>
      <c r="DD59" s="73">
        <f t="shared" ca="1" si="638"/>
        <v>1661.7839727812843</v>
      </c>
      <c r="DE59" s="73">
        <f t="shared" ca="1" si="639"/>
        <v>15256.06079107143</v>
      </c>
      <c r="DF59" s="73">
        <f t="shared" si="640"/>
        <v>7.8845381835651471</v>
      </c>
      <c r="DG59" s="73">
        <f t="shared" si="641"/>
        <v>1725.2634821829586</v>
      </c>
      <c r="DH59" s="73">
        <f t="shared" si="642"/>
        <v>1452.1134821829587</v>
      </c>
      <c r="DI59" s="73">
        <f t="shared" si="449"/>
        <v>13602.905801982104</v>
      </c>
      <c r="DJ59" s="73">
        <f t="shared" si="643"/>
        <v>7.8845381835651471</v>
      </c>
      <c r="DK59" s="73">
        <f t="shared" si="644"/>
        <v>1725.2634821829586</v>
      </c>
      <c r="DL59" s="73">
        <f t="shared" ca="1" si="645"/>
        <v>3.3443802533538403</v>
      </c>
      <c r="DM59" s="73">
        <f t="shared" si="646"/>
        <v>-0.47341969916782273</v>
      </c>
      <c r="DN59" s="73">
        <f t="shared" si="647"/>
        <v>0.44207652281023879</v>
      </c>
      <c r="DO59" s="73">
        <f t="shared" si="648"/>
        <v>0.40571119250108351</v>
      </c>
      <c r="DP59" s="73">
        <f t="shared" si="649"/>
        <v>2.2028593834817838</v>
      </c>
      <c r="DQ59" s="73">
        <f t="shared" ca="1" si="650"/>
        <v>15256.127159232798</v>
      </c>
      <c r="DR59" s="73">
        <f t="shared" si="651"/>
        <v>7.8843149563930108</v>
      </c>
      <c r="DS59" s="73">
        <f t="shared" ca="1" si="652"/>
        <v>1661.8471739602232</v>
      </c>
      <c r="DT59" s="73">
        <f t="shared" si="653"/>
        <v>1452.1805461839699</v>
      </c>
      <c r="DU59" s="73">
        <f t="shared" ca="1" si="654"/>
        <v>1610.407321307031</v>
      </c>
      <c r="DV59" s="76">
        <f t="shared" ca="1" si="655"/>
        <v>2.2371929074003369</v>
      </c>
      <c r="DW59" s="73">
        <f t="shared" ca="1" si="656"/>
        <v>2.8372648219204786</v>
      </c>
      <c r="DX59" s="73">
        <f t="shared" ca="1" si="657"/>
        <v>4614.2419081572634</v>
      </c>
      <c r="DY59" s="73">
        <f t="shared" ca="1" si="658"/>
        <v>1626.2993403040857</v>
      </c>
      <c r="DZ59" s="73">
        <f t="shared" ca="1" si="659"/>
        <v>3.5123269767994647</v>
      </c>
      <c r="EA59" s="73"/>
      <c r="EB59" s="73">
        <f t="shared" si="660"/>
        <v>0.75422113838535265</v>
      </c>
      <c r="EC59" s="73">
        <f t="shared" si="661"/>
        <v>3.1016274586417772E-2</v>
      </c>
      <c r="ED59" s="73">
        <f t="shared" si="662"/>
        <v>8.9809341551483457E-2</v>
      </c>
      <c r="EE59" s="73">
        <f t="shared" si="663"/>
        <v>0.16650528055019229</v>
      </c>
      <c r="EF59" s="73">
        <f t="shared" si="664"/>
        <v>2.2774094981540061E-3</v>
      </c>
      <c r="EG59" s="73">
        <f t="shared" si="665"/>
        <v>0.50967741935483868</v>
      </c>
      <c r="EH59" s="73">
        <f t="shared" si="666"/>
        <v>0.14336453938681903</v>
      </c>
      <c r="EI59" s="73">
        <f t="shared" si="667"/>
        <v>2.9112443608081896E-2</v>
      </c>
      <c r="EJ59" s="73">
        <f t="shared" si="668"/>
        <v>6.9863586249343185E-3</v>
      </c>
      <c r="EK59" s="73">
        <f t="shared" si="669"/>
        <v>6.5793802223830508E-5</v>
      </c>
      <c r="EL59" s="73">
        <f t="shared" si="670"/>
        <v>0</v>
      </c>
      <c r="EM59" s="73">
        <f t="shared" si="671"/>
        <v>1.7330359993484981</v>
      </c>
      <c r="EN59" s="73">
        <f t="shared" si="672"/>
        <v>0.43520223392294666</v>
      </c>
      <c r="EO59" s="73">
        <f t="shared" si="673"/>
        <v>1.7897074612459148E-2</v>
      </c>
      <c r="EP59" s="73">
        <f t="shared" si="674"/>
        <v>5.1821971144999625E-2</v>
      </c>
      <c r="EQ59" s="73">
        <f t="shared" si="675"/>
        <v>9.6077219753534712E-2</v>
      </c>
      <c r="ER59" s="73">
        <f t="shared" si="676"/>
        <v>1.3141155169368408E-3</v>
      </c>
      <c r="ES59" s="73">
        <f t="shared" si="677"/>
        <v>0.29409511374630543</v>
      </c>
      <c r="ET59" s="73">
        <f t="shared" si="678"/>
        <v>8.2724501649541163E-2</v>
      </c>
      <c r="EU59" s="73">
        <f t="shared" si="679"/>
        <v>1.6798522142082543E-2</v>
      </c>
      <c r="EV59" s="73">
        <f t="shared" si="680"/>
        <v>4.0312830359904277E-3</v>
      </c>
      <c r="EW59" s="73">
        <f t="shared" si="681"/>
        <v>3.7964475203379757E-5</v>
      </c>
      <c r="EX59" s="73">
        <f t="shared" si="682"/>
        <v>0</v>
      </c>
      <c r="EY59" s="73">
        <f t="shared" si="683"/>
        <v>0.99999999999999989</v>
      </c>
      <c r="EZ59" s="73">
        <f t="shared" si="684"/>
        <v>9.6620614841407312E-2</v>
      </c>
      <c r="FA59" s="73">
        <f t="shared" si="685"/>
        <v>0.51901610470431747</v>
      </c>
      <c r="FB59" s="73">
        <f t="shared" si="686"/>
        <v>1.4513228947423846</v>
      </c>
      <c r="FC59" s="73">
        <f t="shared" si="687"/>
        <v>0.82658137066749937</v>
      </c>
      <c r="FD59" s="73">
        <f t="shared" si="688"/>
        <v>1.592592914122388</v>
      </c>
      <c r="FE59" s="73">
        <f t="shared" ca="1" si="689"/>
        <v>0.15378389102776638</v>
      </c>
      <c r="FF59" s="73">
        <f t="shared" ca="1" si="690"/>
        <v>1.1299703843728418E-2</v>
      </c>
      <c r="FG59" s="73">
        <f t="shared" ca="1" si="691"/>
        <v>7.3477812066077869E-2</v>
      </c>
      <c r="FH59" s="73">
        <f t="shared" ca="1" si="692"/>
        <v>0.24984370236583345</v>
      </c>
      <c r="FI59" s="73">
        <f t="shared" ca="1" si="693"/>
        <v>8.6905096633796752E-2</v>
      </c>
      <c r="FJ59" s="73">
        <f t="shared" ca="1" si="694"/>
        <v>0.34783785146821927</v>
      </c>
      <c r="FK59" s="73">
        <f t="shared" ca="1" si="695"/>
        <v>8.690509663379678E-2</v>
      </c>
      <c r="FL59" s="73">
        <f t="shared" ca="1" si="696"/>
        <v>8.6905096633796738E-2</v>
      </c>
      <c r="FM59" s="73"/>
      <c r="FN59" s="73"/>
      <c r="FO59" s="73"/>
      <c r="FP59" s="73">
        <f t="shared" ca="1" si="697"/>
        <v>1.8400870565370491</v>
      </c>
      <c r="FQ59" s="73">
        <f t="shared" ca="1" si="698"/>
        <v>0.15991294346295093</v>
      </c>
      <c r="FR59" s="73">
        <f t="shared" si="479"/>
        <v>0.33333333333333331</v>
      </c>
      <c r="FS59" s="73">
        <f t="shared" ca="1" si="699"/>
        <v>5.3304314487650307E-2</v>
      </c>
      <c r="FT59" s="73">
        <f t="shared" ca="1" si="700"/>
        <v>0.61336235217901636</v>
      </c>
      <c r="FU59" s="73">
        <f t="shared" si="701"/>
        <v>20.026666666666664</v>
      </c>
      <c r="FV59" s="73">
        <f t="shared" ca="1" si="702"/>
        <v>3.8299149959376741</v>
      </c>
      <c r="FW59" s="73">
        <f t="shared" ca="1" si="703"/>
        <v>24.718502792814359</v>
      </c>
      <c r="FX59" s="73">
        <f t="shared" ca="1" si="704"/>
        <v>48.575084455418697</v>
      </c>
      <c r="FY59" s="73">
        <f t="shared" ca="1" si="705"/>
        <v>41.228269371403279</v>
      </c>
      <c r="FZ59" s="73">
        <f t="shared" ca="1" si="706"/>
        <v>7.8845256552311263</v>
      </c>
      <c r="GA59" s="73">
        <f t="shared" ca="1" si="707"/>
        <v>50.887204973365591</v>
      </c>
      <c r="GB59" s="73">
        <f t="shared" ca="1" si="708"/>
        <v>92.00435282685244</v>
      </c>
      <c r="GC59" s="73">
        <f t="shared" ca="1" si="709"/>
        <v>3344380253.3538404</v>
      </c>
      <c r="GD59" s="2">
        <f t="shared" si="152"/>
        <v>38</v>
      </c>
      <c r="GE59">
        <f t="shared" ca="1" si="710"/>
        <v>1507.6299564860396</v>
      </c>
      <c r="GF59">
        <f t="shared" ca="1" si="711"/>
        <v>1507.3805118305916</v>
      </c>
      <c r="GG59">
        <f t="shared" ca="1" si="712"/>
        <v>1842.5649129222022</v>
      </c>
      <c r="GH59" s="2">
        <f t="shared" ca="1" si="713"/>
        <v>0.44065076450605456</v>
      </c>
      <c r="GI59" s="2">
        <f t="shared" ca="1" si="714"/>
        <v>1.1849971634871401</v>
      </c>
      <c r="GJ59" s="2">
        <f t="shared" ca="1" si="715"/>
        <v>-1.5610144950816038</v>
      </c>
      <c r="GK59" s="2">
        <f t="shared" ca="1" si="716"/>
        <v>1.381672951341109</v>
      </c>
      <c r="GL59" s="2">
        <f t="shared" ca="1" si="717"/>
        <v>-0.44065076450605456</v>
      </c>
      <c r="GM59">
        <f t="shared" ca="1" si="718"/>
        <v>0.37660009521221322</v>
      </c>
      <c r="GN59">
        <f t="shared" ca="1" si="719"/>
        <v>5.3412299607157883E-2</v>
      </c>
      <c r="GO59">
        <f t="shared" ca="1" si="720"/>
        <v>-0.16149626587185167</v>
      </c>
      <c r="GP59">
        <f t="shared" ca="1" si="721"/>
        <v>-0.15946276001073215</v>
      </c>
      <c r="GQ59">
        <f t="shared" ca="1" si="722"/>
        <v>0.28588462567231337</v>
      </c>
      <c r="GR59">
        <f t="shared" ca="1" si="723"/>
        <v>0.14182763171384805</v>
      </c>
      <c r="GS59">
        <f t="shared" ca="1" si="724"/>
        <v>5.1378793746038348E-2</v>
      </c>
      <c r="GT59">
        <f t="shared" ca="1" si="725"/>
        <v>2.9895308836238275E-3</v>
      </c>
      <c r="GU59">
        <f t="shared" ca="1" si="726"/>
        <v>0.50186970693515676</v>
      </c>
      <c r="GV59">
        <f t="shared" ca="1" si="727"/>
        <v>-0.28704062422535886</v>
      </c>
      <c r="GW59">
        <f t="shared" ca="1" si="728"/>
        <v>0.59142917792201111</v>
      </c>
      <c r="GY59" s="15">
        <f t="shared" si="729"/>
        <v>0.21085114144933814</v>
      </c>
      <c r="GZ59" s="2">
        <f t="shared" si="730"/>
        <v>6.9757010232662148E-2</v>
      </c>
      <c r="HA59" s="2">
        <f t="shared" si="731"/>
        <v>3.9046722703897301E-2</v>
      </c>
      <c r="HB59" s="2">
        <f t="shared" si="732"/>
        <v>0.31965487438589757</v>
      </c>
      <c r="HC59" s="2">
        <f t="shared" si="733"/>
        <v>0.65962123009828377</v>
      </c>
      <c r="HD59" s="2">
        <f t="shared" si="734"/>
        <v>0.21822601756558624</v>
      </c>
      <c r="HE59" s="2">
        <f t="shared" si="735"/>
        <v>0.12215275233613003</v>
      </c>
      <c r="HF59" s="2">
        <f t="shared" si="736"/>
        <v>-1.3835109843517637</v>
      </c>
      <c r="HG59" s="2">
        <f t="shared" si="737"/>
        <v>-1.3675361781655284</v>
      </c>
      <c r="HH59" s="2">
        <f t="shared" si="738"/>
        <v>-1.3755235812586459</v>
      </c>
      <c r="HI59" s="2">
        <f t="shared" si="739"/>
        <v>1.8480769177475884</v>
      </c>
      <c r="HJ59" s="2">
        <f t="shared" si="740"/>
        <v>0.256150928778616</v>
      </c>
      <c r="HK59" s="2">
        <f t="shared" si="741"/>
        <v>0.34532041661886603</v>
      </c>
      <c r="HL59" s="2">
        <f t="shared" si="742"/>
        <v>0.67037773921202348</v>
      </c>
    </row>
    <row r="60" spans="1:220" ht="20.25">
      <c r="A60" s="150" t="s">
        <v>330</v>
      </c>
      <c r="B60" s="77">
        <v>3500</v>
      </c>
      <c r="C60" s="95">
        <f t="shared" ca="1" si="554"/>
        <v>-3.2113670570412114</v>
      </c>
      <c r="D60" s="70">
        <f t="shared" ca="1" si="555"/>
        <v>-2.9791748700638898</v>
      </c>
      <c r="E60" s="71">
        <f t="shared" ca="1" si="556"/>
        <v>-3.2113670570412114</v>
      </c>
      <c r="F60" s="177">
        <v>44.883851373345593</v>
      </c>
      <c r="G60" s="177">
        <v>2.1687699779762966</v>
      </c>
      <c r="H60" s="177">
        <v>9.7597395960828948</v>
      </c>
      <c r="I60" s="177">
        <v>11.758801294560801</v>
      </c>
      <c r="J60" s="177">
        <v>0.13893802392968257</v>
      </c>
      <c r="K60" s="177">
        <v>19.420000000000002</v>
      </c>
      <c r="L60" s="177">
        <v>9.0468923911317471</v>
      </c>
      <c r="M60" s="177">
        <v>1.825761391811406</v>
      </c>
      <c r="N60" s="177">
        <v>0.68763610196531222</v>
      </c>
      <c r="O60" s="328">
        <v>0.01</v>
      </c>
      <c r="P60" s="177">
        <v>0.3</v>
      </c>
      <c r="Q60" s="84"/>
      <c r="R60" s="72">
        <f t="shared" si="557"/>
        <v>100.00039015080374</v>
      </c>
      <c r="S60" s="106">
        <f t="shared" ca="1" si="558"/>
        <v>3.2787166095852482</v>
      </c>
      <c r="T60" s="104">
        <f t="shared" ca="1" si="559"/>
        <v>0.34614622970294046</v>
      </c>
      <c r="U60" s="107">
        <f t="shared" ca="1" si="560"/>
        <v>1634.7643286286232</v>
      </c>
      <c r="V60" s="107">
        <f t="shared" ca="1" si="561"/>
        <v>1584.2982785338361</v>
      </c>
      <c r="W60" s="105">
        <f t="shared" ca="1" si="562"/>
        <v>1591.8303981150768</v>
      </c>
      <c r="X60" s="102">
        <f t="shared" ca="1" si="563"/>
        <v>1651.0152275120954</v>
      </c>
      <c r="Y60" s="102">
        <f t="shared" ca="1" si="564"/>
        <v>1568.5108223721124</v>
      </c>
      <c r="Z60" s="103">
        <f t="shared" ca="1" si="565"/>
        <v>1625.3429792970051</v>
      </c>
      <c r="AA60" s="103">
        <f t="shared" ca="1" si="566"/>
        <v>1612.8284526435873</v>
      </c>
      <c r="AB60" s="103">
        <f t="shared" ca="1" si="567"/>
        <v>44.037134937099573</v>
      </c>
      <c r="AC60" s="4">
        <v>13.3</v>
      </c>
      <c r="AD60" s="273">
        <f t="shared" ca="1" si="568"/>
        <v>12.362313737882374</v>
      </c>
      <c r="AE60" s="3">
        <f t="shared" ca="1" si="569"/>
        <v>117.72345764223192</v>
      </c>
      <c r="AF60" s="3">
        <f t="shared" ca="1" si="570"/>
        <v>213.99402422454284</v>
      </c>
      <c r="AG60" s="2">
        <f t="shared" ca="1" si="571"/>
        <v>550.12497694190427</v>
      </c>
      <c r="AH60" s="2">
        <f t="shared" ca="1" si="572"/>
        <v>69.062697495050216</v>
      </c>
      <c r="AI60" s="87">
        <f t="shared" si="573"/>
        <v>0.42051768735819656</v>
      </c>
      <c r="AJ60" s="87">
        <f t="shared" ca="1" si="574"/>
        <v>3.278716609585254</v>
      </c>
      <c r="AK60" s="87">
        <f t="shared" ca="1" si="575"/>
        <v>0.28020975062191472</v>
      </c>
      <c r="AL60" s="86">
        <f t="shared" ca="1" si="576"/>
        <v>0.26325205058731521</v>
      </c>
      <c r="AM60" s="87">
        <f t="shared" ca="1" si="577"/>
        <v>0.34614622970294046</v>
      </c>
      <c r="AN60" s="87">
        <f t="shared" ca="1" si="578"/>
        <v>0.34614622970294018</v>
      </c>
      <c r="AO60" s="96">
        <f t="shared" ca="1" si="579"/>
        <v>41.190606946502605</v>
      </c>
      <c r="AP60" s="96">
        <f t="shared" ca="1" si="580"/>
        <v>8.0853600645193584</v>
      </c>
      <c r="AQ60" s="96">
        <f t="shared" ca="1" si="581"/>
        <v>50.724032988978031</v>
      </c>
      <c r="AR60" s="73"/>
      <c r="AS60" s="53">
        <f t="shared" ca="1" si="138"/>
        <v>79.473060780178457</v>
      </c>
      <c r="AT60" s="68">
        <f t="shared" ca="1" si="582"/>
        <v>91.793190933605572</v>
      </c>
      <c r="AU60" s="74">
        <f t="shared" ca="1" si="583"/>
        <v>0.34614622970294018</v>
      </c>
      <c r="AV60" s="68">
        <f t="shared" si="584"/>
        <v>2.3137220285941464</v>
      </c>
      <c r="AW60" s="68">
        <f t="shared" ca="1" si="585"/>
        <v>2.3523292590801077</v>
      </c>
      <c r="AX60" s="69">
        <f t="shared" ca="1" si="586"/>
        <v>1639.8730009569949</v>
      </c>
      <c r="AY60" s="69">
        <f t="shared" ca="1" si="587"/>
        <v>1634.7643286286232</v>
      </c>
      <c r="AZ60" s="69">
        <f t="shared" ca="1" si="588"/>
        <v>1584.2982785338359</v>
      </c>
      <c r="BA60" s="75"/>
      <c r="BB60" s="74">
        <f t="shared" ca="1" si="589"/>
        <v>0.12554001434176576</v>
      </c>
      <c r="BC60" s="74">
        <f t="shared" ca="1" si="590"/>
        <v>9.3109470768183312E-3</v>
      </c>
      <c r="BD60" s="68">
        <f t="shared" si="591"/>
        <v>4.1256821512324099E-2</v>
      </c>
      <c r="BE60" s="68">
        <f t="shared" ca="1" si="592"/>
        <v>0.1420615555132082</v>
      </c>
      <c r="BF60" s="68">
        <f t="shared" ca="1" si="593"/>
        <v>0.1636124571937452</v>
      </c>
      <c r="BH60" s="68">
        <f t="shared" ca="1" si="594"/>
        <v>7.9941549163406053E-2</v>
      </c>
      <c r="BI60" s="68">
        <f t="shared" ca="1" si="595"/>
        <v>0.1552292231477837</v>
      </c>
      <c r="BK60" s="53">
        <f t="shared" ca="1" si="596"/>
        <v>0.52685292746485746</v>
      </c>
      <c r="BL60" s="53">
        <f t="shared" si="597"/>
        <v>2.3571998014453647E-2</v>
      </c>
      <c r="BM60" s="53">
        <f t="shared" si="598"/>
        <v>2.3395734824492281E-2</v>
      </c>
      <c r="BN60" s="53">
        <f t="shared" si="599"/>
        <v>0.29893090300044844</v>
      </c>
      <c r="BO60" s="53">
        <f t="shared" si="600"/>
        <v>0.15101796919741506</v>
      </c>
      <c r="BP60" s="53">
        <f t="shared" si="601"/>
        <v>0.11581230983084967</v>
      </c>
      <c r="BQ60" s="54">
        <f t="shared" si="602"/>
        <v>1433.5061759999999</v>
      </c>
      <c r="BR60" s="262">
        <f t="shared" si="603"/>
        <v>4.4840300164503981</v>
      </c>
      <c r="BS60" s="54">
        <f t="shared" si="604"/>
        <v>1636.7195389776675</v>
      </c>
      <c r="BT60" s="67"/>
      <c r="BU60" s="73">
        <f t="shared" si="605"/>
        <v>0.74706809875741664</v>
      </c>
      <c r="BV60" s="73">
        <f t="shared" si="606"/>
        <v>2.7143554167412973E-2</v>
      </c>
      <c r="BW60" s="73">
        <f t="shared" si="607"/>
        <v>0.19144251855792263</v>
      </c>
      <c r="BX60" s="73">
        <f t="shared" si="608"/>
        <v>0.16365763805930134</v>
      </c>
      <c r="BY60" s="73">
        <f t="shared" si="609"/>
        <v>1.9585286711260586E-3</v>
      </c>
      <c r="BZ60" s="73">
        <f t="shared" si="610"/>
        <v>0.48188585607940454</v>
      </c>
      <c r="CA60" s="73">
        <f t="shared" si="611"/>
        <v>0.16132119099735642</v>
      </c>
      <c r="CB60" s="73">
        <f t="shared" si="612"/>
        <v>5.891453345632159E-2</v>
      </c>
      <c r="CC60" s="73">
        <f t="shared" si="613"/>
        <v>1.4599492610728496E-2</v>
      </c>
      <c r="CD60" s="73">
        <f t="shared" si="614"/>
        <v>1.3158760444766102E-4</v>
      </c>
      <c r="CE60" s="73">
        <f t="shared" si="615"/>
        <v>4.2271382274200369E-3</v>
      </c>
      <c r="CF60" s="73">
        <f t="shared" si="616"/>
        <v>1.8523501371888584</v>
      </c>
      <c r="CG60" s="73">
        <f t="shared" si="617"/>
        <v>0.40330825353092975</v>
      </c>
      <c r="CH60" s="73">
        <f t="shared" si="618"/>
        <v>1.46535763527981E-2</v>
      </c>
      <c r="CI60" s="73">
        <f t="shared" si="619"/>
        <v>0.10335115090522645</v>
      </c>
      <c r="CJ60" s="73">
        <f t="shared" si="620"/>
        <v>8.8351351493227676E-2</v>
      </c>
      <c r="CK60" s="73">
        <f t="shared" si="621"/>
        <v>1.0573209847347421E-3</v>
      </c>
      <c r="CL60" s="73">
        <f t="shared" si="622"/>
        <v>0.26014836310089756</v>
      </c>
      <c r="CM60" s="73">
        <f t="shared" si="623"/>
        <v>8.7090009474223254E-2</v>
      </c>
      <c r="CN60" s="73">
        <f t="shared" si="624"/>
        <v>3.1805290087181227E-2</v>
      </c>
      <c r="CO60" s="73">
        <f t="shared" si="625"/>
        <v>7.8816052740897057E-3</v>
      </c>
      <c r="CP60" s="73">
        <f t="shared" si="626"/>
        <v>7.1038191865474971E-5</v>
      </c>
      <c r="CQ60" s="73">
        <f t="shared" si="627"/>
        <v>2.2820406048260273E-3</v>
      </c>
      <c r="CR60" s="73"/>
      <c r="CS60" s="73">
        <f t="shared" ca="1" si="628"/>
        <v>0.68559598779132169</v>
      </c>
      <c r="CT60" s="73">
        <f t="shared" ca="1" si="629"/>
        <v>0.11253110736978927</v>
      </c>
      <c r="CU60" s="73">
        <f t="shared" ca="1" si="630"/>
        <v>1.2586608682128544</v>
      </c>
      <c r="CV60" s="73">
        <f t="shared" ca="1" si="631"/>
        <v>2.0567879633739654</v>
      </c>
      <c r="CW60" s="73">
        <f t="shared" ca="1" si="632"/>
        <v>0.33333333333333326</v>
      </c>
      <c r="CX60" s="73">
        <f t="shared" ca="1" si="633"/>
        <v>5.4712060442629523E-2</v>
      </c>
      <c r="CY60" s="73">
        <f t="shared" ca="1" si="634"/>
        <v>0.61195460622403719</v>
      </c>
      <c r="CZ60" s="73">
        <f t="shared" si="635"/>
        <v>0.43664704505308322</v>
      </c>
      <c r="DA60" s="73">
        <f t="shared" si="636"/>
        <v>0.40330825353092975</v>
      </c>
      <c r="DB60" s="73">
        <f t="shared" si="637"/>
        <v>-0.48515238507668113</v>
      </c>
      <c r="DC60" s="73"/>
      <c r="DD60" s="73">
        <f t="shared" ca="1" si="638"/>
        <v>1639.8730009569949</v>
      </c>
      <c r="DE60" s="73">
        <f t="shared" ca="1" si="639"/>
        <v>15223.601734989341</v>
      </c>
      <c r="DF60" s="73">
        <f t="shared" si="640"/>
        <v>7.9578769974922894</v>
      </c>
      <c r="DG60" s="73">
        <f t="shared" si="641"/>
        <v>1709.3636664990793</v>
      </c>
      <c r="DH60" s="73">
        <f t="shared" si="642"/>
        <v>1436.2136664990794</v>
      </c>
      <c r="DI60" s="73">
        <f t="shared" si="449"/>
        <v>13602.905801982104</v>
      </c>
      <c r="DJ60" s="73">
        <f t="shared" si="643"/>
        <v>7.9578769974922894</v>
      </c>
      <c r="DK60" s="73">
        <f t="shared" si="644"/>
        <v>1709.3636664990793</v>
      </c>
      <c r="DL60" s="73">
        <f t="shared" ca="1" si="645"/>
        <v>3.2787166095852482</v>
      </c>
      <c r="DM60" s="73">
        <f t="shared" si="646"/>
        <v>-0.48515238507668113</v>
      </c>
      <c r="DN60" s="73">
        <f t="shared" si="647"/>
        <v>0.43664704505308322</v>
      </c>
      <c r="DO60" s="73">
        <f t="shared" si="648"/>
        <v>0.40330825353092975</v>
      </c>
      <c r="DP60" s="73">
        <f t="shared" si="649"/>
        <v>2.3137220285941464</v>
      </c>
      <c r="DQ60" s="73">
        <f t="shared" ca="1" si="650"/>
        <v>15223.669620117984</v>
      </c>
      <c r="DR60" s="73">
        <f t="shared" si="651"/>
        <v>7.957653770320154</v>
      </c>
      <c r="DS60" s="73">
        <f t="shared" ca="1" si="652"/>
        <v>1639.9351956512683</v>
      </c>
      <c r="DT60" s="73">
        <f t="shared" si="653"/>
        <v>1436.2796664094139</v>
      </c>
      <c r="DU60" s="73">
        <f t="shared" ca="1" si="654"/>
        <v>1591.8303981150768</v>
      </c>
      <c r="DV60" s="76">
        <f t="shared" ca="1" si="655"/>
        <v>2.3523292590801077</v>
      </c>
      <c r="DW60" s="73">
        <f t="shared" ca="1" si="656"/>
        <v>2.8848457295373486</v>
      </c>
      <c r="DX60" s="73">
        <f t="shared" ca="1" si="657"/>
        <v>4610.6244980220517</v>
      </c>
      <c r="DY60" s="73">
        <f t="shared" ca="1" si="658"/>
        <v>1598.2222032931625</v>
      </c>
      <c r="DZ60" s="73">
        <f t="shared" ca="1" si="659"/>
        <v>3.7040731573916714</v>
      </c>
      <c r="EA60" s="73"/>
      <c r="EB60" s="73">
        <f t="shared" si="660"/>
        <v>0.74706809875741664</v>
      </c>
      <c r="EC60" s="73">
        <f t="shared" si="661"/>
        <v>2.7143554167412973E-2</v>
      </c>
      <c r="ED60" s="73">
        <f t="shared" si="662"/>
        <v>9.5721259278961315E-2</v>
      </c>
      <c r="EE60" s="73">
        <f t="shared" si="663"/>
        <v>0.16365763805930134</v>
      </c>
      <c r="EF60" s="73">
        <f t="shared" si="664"/>
        <v>1.9585286711260586E-3</v>
      </c>
      <c r="EG60" s="73">
        <f t="shared" si="665"/>
        <v>0.48188585607940454</v>
      </c>
      <c r="EH60" s="73">
        <f t="shared" si="666"/>
        <v>0.16132119099735642</v>
      </c>
      <c r="EI60" s="73">
        <f t="shared" si="667"/>
        <v>2.9457266728160795E-2</v>
      </c>
      <c r="EJ60" s="73">
        <f t="shared" si="668"/>
        <v>7.299746305364248E-3</v>
      </c>
      <c r="EK60" s="73">
        <f t="shared" si="669"/>
        <v>6.5793802223830508E-5</v>
      </c>
      <c r="EL60" s="73">
        <f t="shared" si="670"/>
        <v>2.1135691137100184E-3</v>
      </c>
      <c r="EM60" s="73">
        <f t="shared" si="671"/>
        <v>1.7176925019604383</v>
      </c>
      <c r="EN60" s="73">
        <f t="shared" si="672"/>
        <v>0.4349254001544352</v>
      </c>
      <c r="EO60" s="73">
        <f t="shared" si="673"/>
        <v>1.5802336062149348E-2</v>
      </c>
      <c r="EP60" s="73">
        <f t="shared" si="674"/>
        <v>5.5726656063126927E-2</v>
      </c>
      <c r="EQ60" s="73">
        <f t="shared" si="675"/>
        <v>9.5277611023227654E-2</v>
      </c>
      <c r="ER60" s="73">
        <f t="shared" si="676"/>
        <v>1.1402091287531085E-3</v>
      </c>
      <c r="ES60" s="73">
        <f t="shared" si="677"/>
        <v>0.28054256249556786</v>
      </c>
      <c r="ET60" s="73">
        <f t="shared" si="678"/>
        <v>9.3917386734376024E-2</v>
      </c>
      <c r="EU60" s="73">
        <f t="shared" si="679"/>
        <v>1.7149324861429272E-2</v>
      </c>
      <c r="EV60" s="73">
        <f t="shared" si="680"/>
        <v>4.2497398673120449E-3</v>
      </c>
      <c r="EW60" s="73">
        <f t="shared" si="681"/>
        <v>3.830359749998249E-5</v>
      </c>
      <c r="EX60" s="73">
        <f t="shared" si="682"/>
        <v>1.2304700121225178E-3</v>
      </c>
      <c r="EY60" s="73">
        <f t="shared" si="683"/>
        <v>0.99999999999999989</v>
      </c>
      <c r="EZ60" s="73">
        <f t="shared" si="684"/>
        <v>0.10335115090522645</v>
      </c>
      <c r="FA60" s="73">
        <f t="shared" si="685"/>
        <v>0.52131298078895427</v>
      </c>
      <c r="FB60" s="73">
        <f t="shared" si="686"/>
        <v>1.4532525376588774</v>
      </c>
      <c r="FC60" s="73">
        <f t="shared" si="687"/>
        <v>0.82125315216193773</v>
      </c>
      <c r="FD60" s="73">
        <f t="shared" si="688"/>
        <v>1.5753552710677843</v>
      </c>
      <c r="FE60" s="73">
        <f t="shared" ca="1" si="689"/>
        <v>0.15744260857738437</v>
      </c>
      <c r="FF60" s="73">
        <f t="shared" ca="1" si="690"/>
        <v>1.1408414531405175E-2</v>
      </c>
      <c r="FG60" s="73">
        <f t="shared" ca="1" si="691"/>
        <v>7.2460781960417303E-2</v>
      </c>
      <c r="FH60" s="73">
        <f t="shared" ca="1" si="692"/>
        <v>0.25828801632038301</v>
      </c>
      <c r="FI60" s="73">
        <f t="shared" ca="1" si="693"/>
        <v>8.9405423026752057E-2</v>
      </c>
      <c r="FJ60" s="73">
        <f t="shared" ca="1" si="694"/>
        <v>0.34614622970294018</v>
      </c>
      <c r="FK60" s="73">
        <f t="shared" ca="1" si="695"/>
        <v>8.9405423026752043E-2</v>
      </c>
      <c r="FL60" s="73">
        <f t="shared" ca="1" si="696"/>
        <v>8.9405423026752126E-2</v>
      </c>
      <c r="FM60" s="73"/>
      <c r="FN60" s="73"/>
      <c r="FO60" s="73"/>
      <c r="FP60" s="73">
        <f t="shared" ca="1" si="697"/>
        <v>1.8358638186721115</v>
      </c>
      <c r="FQ60" s="73">
        <f t="shared" ca="1" si="698"/>
        <v>0.16413618132788854</v>
      </c>
      <c r="FR60" s="73">
        <f t="shared" si="479"/>
        <v>0.33333333333333331</v>
      </c>
      <c r="FS60" s="73">
        <f t="shared" ca="1" si="699"/>
        <v>5.4712060442629516E-2</v>
      </c>
      <c r="FT60" s="73">
        <f t="shared" ca="1" si="700"/>
        <v>0.61195460622403719</v>
      </c>
      <c r="FU60" s="73">
        <f t="shared" si="701"/>
        <v>20.026666666666664</v>
      </c>
      <c r="FV60" s="73">
        <f t="shared" ca="1" si="702"/>
        <v>3.9310615428029303</v>
      </c>
      <c r="FW60" s="73">
        <f t="shared" ca="1" si="703"/>
        <v>24.661770630828698</v>
      </c>
      <c r="FX60" s="73">
        <f t="shared" ca="1" si="704"/>
        <v>48.619498840298291</v>
      </c>
      <c r="FY60" s="73">
        <f t="shared" ca="1" si="705"/>
        <v>41.190606946502605</v>
      </c>
      <c r="FZ60" s="73">
        <f t="shared" ca="1" si="706"/>
        <v>8.0853600645193584</v>
      </c>
      <c r="GA60" s="73">
        <f t="shared" ca="1" si="707"/>
        <v>50.724032988978031</v>
      </c>
      <c r="GB60" s="73">
        <f t="shared" ca="1" si="708"/>
        <v>91.793190933605587</v>
      </c>
      <c r="GC60" s="73">
        <f t="shared" ca="1" si="709"/>
        <v>3278716609.5852485</v>
      </c>
      <c r="GD60" s="2">
        <f t="shared" si="152"/>
        <v>38</v>
      </c>
      <c r="GE60">
        <f t="shared" ca="1" si="710"/>
        <v>1501.1388944052776</v>
      </c>
      <c r="GF60">
        <f t="shared" ca="1" si="711"/>
        <v>1500.8735261930078</v>
      </c>
      <c r="GG60">
        <f t="shared" ca="1" si="712"/>
        <v>1839.2350072235456</v>
      </c>
      <c r="GH60" s="2">
        <f t="shared" ca="1" si="713"/>
        <v>0.39570344126591478</v>
      </c>
      <c r="GI60" s="2">
        <f t="shared" ca="1" si="714"/>
        <v>1.2048275839052549</v>
      </c>
      <c r="GJ60" s="2">
        <f t="shared" ca="1" si="715"/>
        <v>-1.5985740993172384</v>
      </c>
      <c r="GK60" s="2">
        <f t="shared" ca="1" si="716"/>
        <v>1.3994677988023976</v>
      </c>
      <c r="GL60" s="2">
        <f t="shared" ca="1" si="717"/>
        <v>-0.39570344126591478</v>
      </c>
      <c r="GM60">
        <f t="shared" ca="1" si="718"/>
        <v>0.38075762340637093</v>
      </c>
      <c r="GN60">
        <f t="shared" ca="1" si="719"/>
        <v>5.5200857246788075E-2</v>
      </c>
      <c r="GO60">
        <f t="shared" ca="1" si="720"/>
        <v>-0.16390062274200959</v>
      </c>
      <c r="GP60">
        <f t="shared" ca="1" si="721"/>
        <v>-0.14137640094489498</v>
      </c>
      <c r="GQ60">
        <f t="shared" ca="1" si="722"/>
        <v>0.28697280135974856</v>
      </c>
      <c r="GR60">
        <f t="shared" ca="1" si="723"/>
        <v>0.14497636778206774</v>
      </c>
      <c r="GS60">
        <f t="shared" ca="1" si="724"/>
        <v>3.2676635449673475E-2</v>
      </c>
      <c r="GT60">
        <f t="shared" ca="1" si="725"/>
        <v>2.863072265399474E-3</v>
      </c>
      <c r="GU60">
        <f t="shared" ca="1" si="726"/>
        <v>0.45688667172977521</v>
      </c>
      <c r="GV60">
        <f t="shared" ca="1" si="727"/>
        <v>-0.31079136767129067</v>
      </c>
      <c r="GW60">
        <f t="shared" ca="1" si="728"/>
        <v>0.52685292746485546</v>
      </c>
      <c r="GY60" s="15">
        <f t="shared" si="729"/>
        <v>0.19728203905134531</v>
      </c>
      <c r="GZ60" s="2">
        <f t="shared" si="730"/>
        <v>7.1567295722776259E-2</v>
      </c>
      <c r="HA60" s="2">
        <f t="shared" si="731"/>
        <v>2.6238674314495558E-2</v>
      </c>
      <c r="HB60" s="2">
        <f t="shared" si="732"/>
        <v>0.2950880090886171</v>
      </c>
      <c r="HC60" s="2">
        <f t="shared" si="733"/>
        <v>0.66855322132760764</v>
      </c>
      <c r="HD60" s="2">
        <f t="shared" si="734"/>
        <v>0.24252864744932442</v>
      </c>
      <c r="HE60" s="2">
        <f t="shared" si="735"/>
        <v>8.8918131223068075E-2</v>
      </c>
      <c r="HF60" s="2">
        <f t="shared" si="736"/>
        <v>-1.332835895145259</v>
      </c>
      <c r="HG60" s="2">
        <f t="shared" si="737"/>
        <v>-1.3501644262602286</v>
      </c>
      <c r="HH60" s="2">
        <f t="shared" si="738"/>
        <v>-1.3415001607027439</v>
      </c>
      <c r="HI60" s="2">
        <f t="shared" si="739"/>
        <v>1.6199649632461253</v>
      </c>
      <c r="HJ60" s="2">
        <f t="shared" si="740"/>
        <v>0.27376273999060219</v>
      </c>
      <c r="HK60" s="2">
        <f t="shared" si="741"/>
        <v>0.34339559193968017</v>
      </c>
      <c r="HL60" s="2">
        <f t="shared" si="742"/>
        <v>0.68204231018936967</v>
      </c>
    </row>
    <row r="61" spans="1:220" ht="20.25">
      <c r="A61" s="150" t="s">
        <v>331</v>
      </c>
      <c r="B61" s="77">
        <v>3500</v>
      </c>
      <c r="C61" s="95">
        <f t="shared" ca="1" si="554"/>
        <v>-3.0147093177712527</v>
      </c>
      <c r="D61" s="70">
        <f t="shared" ca="1" si="555"/>
        <v>-2.7404952686995134</v>
      </c>
      <c r="E61" s="71">
        <f t="shared" ca="1" si="556"/>
        <v>-3.0147093177712527</v>
      </c>
      <c r="F61" s="177">
        <v>44.673994467638323</v>
      </c>
      <c r="G61" s="177">
        <v>2.4833111516413551</v>
      </c>
      <c r="H61" s="177">
        <v>9.1568293790488067</v>
      </c>
      <c r="I61" s="177">
        <v>11.989766544262402</v>
      </c>
      <c r="J61" s="177">
        <v>0.12899519000728732</v>
      </c>
      <c r="K61" s="177">
        <v>19.91</v>
      </c>
      <c r="L61" s="177">
        <v>8.4403023899179441</v>
      </c>
      <c r="M61" s="177">
        <v>1.8209878462929112</v>
      </c>
      <c r="N61" s="177">
        <v>1.0468158332358914</v>
      </c>
      <c r="O61" s="328">
        <v>0.01</v>
      </c>
      <c r="P61" s="177">
        <v>0.4</v>
      </c>
      <c r="Q61" s="84"/>
      <c r="R61" s="72">
        <f t="shared" si="557"/>
        <v>100.06100280204494</v>
      </c>
      <c r="S61" s="106">
        <f t="shared" ca="1" si="558"/>
        <v>3.460211286924479</v>
      </c>
      <c r="T61" s="104">
        <f t="shared" ca="1" si="559"/>
        <v>0.34638125631070382</v>
      </c>
      <c r="U61" s="107">
        <f t="shared" ca="1" si="560"/>
        <v>1659.9047069130359</v>
      </c>
      <c r="V61" s="107">
        <f t="shared" ca="1" si="561"/>
        <v>1602.951689121661</v>
      </c>
      <c r="W61" s="105">
        <f t="shared" ca="1" si="562"/>
        <v>1612.0793204808704</v>
      </c>
      <c r="X61" s="102">
        <f t="shared" ca="1" si="563"/>
        <v>1669.7369169071396</v>
      </c>
      <c r="Y61" s="102">
        <f t="shared" ca="1" si="564"/>
        <v>1579.4139985157842</v>
      </c>
      <c r="Z61" s="103">
        <f t="shared" ca="1" si="565"/>
        <v>1633.1825792496938</v>
      </c>
      <c r="AA61" s="103">
        <f t="shared" ca="1" si="566"/>
        <v>1622.4801371803815</v>
      </c>
      <c r="AB61" s="103">
        <f t="shared" ca="1" si="567"/>
        <v>46.677551813705357</v>
      </c>
      <c r="AC61" s="4">
        <v>13.3</v>
      </c>
      <c r="AD61" s="273">
        <f t="shared" ca="1" si="568"/>
        <v>12.50007212268876</v>
      </c>
      <c r="AE61" s="3">
        <f t="shared" ca="1" si="569"/>
        <v>118.87939088880232</v>
      </c>
      <c r="AF61" s="3">
        <f t="shared" ca="1" si="570"/>
        <v>214.12746296375866</v>
      </c>
      <c r="AG61" s="2">
        <f t="shared" ca="1" si="571"/>
        <v>555.18049503497275</v>
      </c>
      <c r="AH61" s="2">
        <f t="shared" ca="1" si="572"/>
        <v>62.781338705017937</v>
      </c>
      <c r="AI61" s="87">
        <f t="shared" si="573"/>
        <v>0.42972977111605132</v>
      </c>
      <c r="AJ61" s="87">
        <f t="shared" ca="1" si="574"/>
        <v>3.460211286924479</v>
      </c>
      <c r="AK61" s="87">
        <f t="shared" ca="1" si="575"/>
        <v>0.27834341678962748</v>
      </c>
      <c r="AL61" s="86">
        <f t="shared" ca="1" si="576"/>
        <v>0.2603845910111352</v>
      </c>
      <c r="AM61" s="87">
        <f t="shared" ca="1" si="577"/>
        <v>0.34638125631070382</v>
      </c>
      <c r="AN61" s="87">
        <f t="shared" ca="1" si="578"/>
        <v>0.34638125631070371</v>
      </c>
      <c r="AO61" s="96">
        <f t="shared" ca="1" si="579"/>
        <v>41.212509172272405</v>
      </c>
      <c r="AP61" s="96">
        <f t="shared" ca="1" si="580"/>
        <v>7.9685667197951382</v>
      </c>
      <c r="AQ61" s="96">
        <f t="shared" ca="1" si="581"/>
        <v>50.818924107932453</v>
      </c>
      <c r="AR61" s="73"/>
      <c r="AS61" s="53">
        <f t="shared" ca="1" si="138"/>
        <v>79.75058373782214</v>
      </c>
      <c r="AT61" s="68">
        <f t="shared" ca="1" si="582"/>
        <v>91.916037088622204</v>
      </c>
      <c r="AU61" s="74">
        <f t="shared" ca="1" si="583"/>
        <v>0.34638125631070371</v>
      </c>
      <c r="AV61" s="68">
        <f t="shared" si="584"/>
        <v>2.2602875718512858</v>
      </c>
      <c r="AW61" s="68">
        <f t="shared" ca="1" si="585"/>
        <v>2.2998824108119975</v>
      </c>
      <c r="AX61" s="69">
        <f t="shared" ca="1" si="586"/>
        <v>1665.661709794183</v>
      </c>
      <c r="AY61" s="69">
        <f t="shared" ca="1" si="587"/>
        <v>1659.9047069130359</v>
      </c>
      <c r="AZ61" s="69">
        <f t="shared" ca="1" si="588"/>
        <v>1602.951689121661</v>
      </c>
      <c r="BA61" s="75"/>
      <c r="BB61" s="74">
        <f t="shared" ca="1" si="589"/>
        <v>0.11308275284610481</v>
      </c>
      <c r="BC61" s="74">
        <f t="shared" ca="1" si="590"/>
        <v>4.9464681487524004E-2</v>
      </c>
      <c r="BD61" s="68">
        <f t="shared" si="591"/>
        <v>3.3342903025684184E-2</v>
      </c>
      <c r="BE61" s="68">
        <f t="shared" ca="1" si="592"/>
        <v>9.0870469593564596E-2</v>
      </c>
      <c r="BF61" s="68">
        <f t="shared" ca="1" si="593"/>
        <v>0.16729354575348404</v>
      </c>
      <c r="BH61" s="68">
        <f t="shared" ca="1" si="594"/>
        <v>8.4055434676243407E-2</v>
      </c>
      <c r="BI61" s="68">
        <f t="shared" ca="1" si="595"/>
        <v>0.16082409301168643</v>
      </c>
      <c r="BK61" s="53">
        <f t="shared" ca="1" si="596"/>
        <v>0.58077283054616302</v>
      </c>
      <c r="BL61" s="53">
        <f t="shared" si="597"/>
        <v>3.0106129734438412E-2</v>
      </c>
      <c r="BM61" s="53">
        <f t="shared" si="598"/>
        <v>3.1203009679245608E-2</v>
      </c>
      <c r="BN61" s="53">
        <f t="shared" si="599"/>
        <v>0.31376124174441966</v>
      </c>
      <c r="BO61" s="53">
        <f t="shared" si="600"/>
        <v>0.18580481215873695</v>
      </c>
      <c r="BP61" s="53">
        <f t="shared" si="601"/>
        <v>0.14852726474324074</v>
      </c>
      <c r="BQ61" s="54">
        <f t="shared" si="602"/>
        <v>1442.3787040000002</v>
      </c>
      <c r="BR61" s="262">
        <f t="shared" si="603"/>
        <v>4.7638897008963941</v>
      </c>
      <c r="BS61" s="54">
        <f t="shared" si="604"/>
        <v>1655.407642246224</v>
      </c>
      <c r="BT61" s="67"/>
      <c r="BU61" s="73">
        <f t="shared" si="605"/>
        <v>0.74357514093938626</v>
      </c>
      <c r="BV61" s="73">
        <f t="shared" si="606"/>
        <v>3.1080239695135858E-2</v>
      </c>
      <c r="BW61" s="73">
        <f t="shared" si="607"/>
        <v>0.17961611178989423</v>
      </c>
      <c r="BX61" s="73">
        <f t="shared" si="608"/>
        <v>0.16687218572390261</v>
      </c>
      <c r="BY61" s="73">
        <f t="shared" si="609"/>
        <v>1.8183703130432382E-3</v>
      </c>
      <c r="BZ61" s="73">
        <f t="shared" si="610"/>
        <v>0.49404466501240701</v>
      </c>
      <c r="CA61" s="73">
        <f t="shared" si="611"/>
        <v>0.15050467885017732</v>
      </c>
      <c r="CB61" s="73">
        <f t="shared" si="612"/>
        <v>5.8760498428296587E-2</v>
      </c>
      <c r="CC61" s="73">
        <f t="shared" si="613"/>
        <v>2.2225389240677101E-2</v>
      </c>
      <c r="CD61" s="73">
        <f t="shared" si="614"/>
        <v>1.3158760444766102E-4</v>
      </c>
      <c r="CE61" s="73">
        <f t="shared" si="615"/>
        <v>5.6361843032267161E-3</v>
      </c>
      <c r="CF61" s="73">
        <f t="shared" si="616"/>
        <v>1.8542650519005945</v>
      </c>
      <c r="CG61" s="73">
        <f t="shared" si="617"/>
        <v>0.40100801132892661</v>
      </c>
      <c r="CH61" s="73">
        <f t="shared" si="618"/>
        <v>1.6761487071807274E-2</v>
      </c>
      <c r="CI61" s="73">
        <f t="shared" si="619"/>
        <v>9.6866470953432648E-2</v>
      </c>
      <c r="CJ61" s="73">
        <f t="shared" si="620"/>
        <v>8.9993706969163367E-2</v>
      </c>
      <c r="CK61" s="73">
        <f t="shared" si="621"/>
        <v>9.8064206688220495E-4</v>
      </c>
      <c r="CL61" s="73">
        <f t="shared" si="622"/>
        <v>0.26643691769200872</v>
      </c>
      <c r="CM61" s="73">
        <f t="shared" si="623"/>
        <v>8.1166755904670818E-2</v>
      </c>
      <c r="CN61" s="73">
        <f t="shared" si="624"/>
        <v>3.1689373840092565E-2</v>
      </c>
      <c r="CO61" s="73">
        <f t="shared" si="625"/>
        <v>1.1986090779145302E-2</v>
      </c>
      <c r="CP61" s="73">
        <f t="shared" si="626"/>
        <v>7.0964830142694895E-5</v>
      </c>
      <c r="CQ61" s="73">
        <f t="shared" si="627"/>
        <v>3.0395785637278281E-3</v>
      </c>
      <c r="CR61" s="73"/>
      <c r="CS61" s="73">
        <f t="shared" ca="1" si="628"/>
        <v>0.68596053881944752</v>
      </c>
      <c r="CT61" s="73">
        <f t="shared" ca="1" si="629"/>
        <v>0.1109055910897027</v>
      </c>
      <c r="CU61" s="73">
        <f t="shared" ca="1" si="630"/>
        <v>1.2610154865491925</v>
      </c>
      <c r="CV61" s="73">
        <f t="shared" ca="1" si="631"/>
        <v>2.0578816164583427</v>
      </c>
      <c r="CW61" s="73">
        <f t="shared" ca="1" si="632"/>
        <v>0.33333333333333331</v>
      </c>
      <c r="CX61" s="73">
        <f t="shared" ca="1" si="633"/>
        <v>5.3893086075851894E-2</v>
      </c>
      <c r="CY61" s="73">
        <f t="shared" ca="1" si="634"/>
        <v>0.61277358059081477</v>
      </c>
      <c r="CZ61" s="73">
        <f t="shared" si="635"/>
        <v>0.43857802263272511</v>
      </c>
      <c r="DA61" s="73">
        <f t="shared" si="636"/>
        <v>0.40100801132892661</v>
      </c>
      <c r="DB61" s="73">
        <f t="shared" si="637"/>
        <v>-0.47492187677154646</v>
      </c>
      <c r="DC61" s="73"/>
      <c r="DD61" s="73">
        <f t="shared" ca="1" si="638"/>
        <v>1665.661709794183</v>
      </c>
      <c r="DE61" s="73">
        <f t="shared" ca="1" si="639"/>
        <v>15313.31874690412</v>
      </c>
      <c r="DF61" s="73">
        <f t="shared" si="640"/>
        <v>7.8983011447407261</v>
      </c>
      <c r="DG61" s="73">
        <f t="shared" si="641"/>
        <v>1722.2571731187948</v>
      </c>
      <c r="DH61" s="73">
        <f t="shared" si="642"/>
        <v>1449.1071731187949</v>
      </c>
      <c r="DI61" s="73">
        <f t="shared" si="449"/>
        <v>13602.905801982104</v>
      </c>
      <c r="DJ61" s="73">
        <f t="shared" si="643"/>
        <v>7.8983011447407261</v>
      </c>
      <c r="DK61" s="73">
        <f t="shared" si="644"/>
        <v>1722.2571731187948</v>
      </c>
      <c r="DL61" s="73">
        <f t="shared" ca="1" si="645"/>
        <v>3.460211286924479</v>
      </c>
      <c r="DM61" s="73">
        <f t="shared" si="646"/>
        <v>-0.47492187677154646</v>
      </c>
      <c r="DN61" s="73">
        <f t="shared" si="647"/>
        <v>0.43857802263272511</v>
      </c>
      <c r="DO61" s="73">
        <f t="shared" si="648"/>
        <v>0.40100801132892661</v>
      </c>
      <c r="DP61" s="73">
        <f t="shared" si="649"/>
        <v>2.2602875718512858</v>
      </c>
      <c r="DQ61" s="73">
        <f t="shared" ca="1" si="650"/>
        <v>15313.382439126764</v>
      </c>
      <c r="DR61" s="73">
        <f t="shared" si="651"/>
        <v>7.8980779175685907</v>
      </c>
      <c r="DS61" s="73">
        <f t="shared" ca="1" si="652"/>
        <v>1665.7245716300763</v>
      </c>
      <c r="DT61" s="73">
        <f t="shared" si="653"/>
        <v>1449.1740352872675</v>
      </c>
      <c r="DU61" s="73">
        <f t="shared" ca="1" si="654"/>
        <v>1612.0793204808704</v>
      </c>
      <c r="DV61" s="76">
        <f t="shared" ca="1" si="655"/>
        <v>2.2998824108119975</v>
      </c>
      <c r="DW61" s="73">
        <f t="shared" ca="1" si="656"/>
        <v>2.8441698376863269</v>
      </c>
      <c r="DX61" s="73">
        <f t="shared" ca="1" si="657"/>
        <v>4620.6230397966692</v>
      </c>
      <c r="DY61" s="73">
        <f t="shared" ca="1" si="658"/>
        <v>1624.5946281307342</v>
      </c>
      <c r="DZ61" s="73">
        <f t="shared" ca="1" si="659"/>
        <v>3.6318600686530118</v>
      </c>
      <c r="EA61" s="73"/>
      <c r="EB61" s="73">
        <f t="shared" si="660"/>
        <v>0.74357514093938626</v>
      </c>
      <c r="EC61" s="73">
        <f t="shared" si="661"/>
        <v>3.1080239695135858E-2</v>
      </c>
      <c r="ED61" s="73">
        <f t="shared" si="662"/>
        <v>8.9808055894947114E-2</v>
      </c>
      <c r="EE61" s="73">
        <f t="shared" si="663"/>
        <v>0.16687218572390261</v>
      </c>
      <c r="EF61" s="73">
        <f t="shared" si="664"/>
        <v>1.8183703130432382E-3</v>
      </c>
      <c r="EG61" s="73">
        <f t="shared" si="665"/>
        <v>0.49404466501240701</v>
      </c>
      <c r="EH61" s="73">
        <f t="shared" si="666"/>
        <v>0.15050467885017732</v>
      </c>
      <c r="EI61" s="73">
        <f t="shared" si="667"/>
        <v>2.9380249214148293E-2</v>
      </c>
      <c r="EJ61" s="73">
        <f t="shared" si="668"/>
        <v>1.1112694620338551E-2</v>
      </c>
      <c r="EK61" s="73">
        <f t="shared" si="669"/>
        <v>6.5793802223830508E-5</v>
      </c>
      <c r="EL61" s="73">
        <f t="shared" si="670"/>
        <v>2.8180921516133581E-3</v>
      </c>
      <c r="EM61" s="73">
        <f t="shared" si="671"/>
        <v>1.7210801662173238</v>
      </c>
      <c r="EN61" s="73">
        <f t="shared" si="672"/>
        <v>0.43203980589332625</v>
      </c>
      <c r="EO61" s="73">
        <f t="shared" si="673"/>
        <v>1.8058565954801261E-2</v>
      </c>
      <c r="EP61" s="73">
        <f t="shared" si="674"/>
        <v>5.2181215993170008E-2</v>
      </c>
      <c r="EQ61" s="73">
        <f t="shared" si="675"/>
        <v>9.6957822767002572E-2</v>
      </c>
      <c r="ER61" s="73">
        <f t="shared" si="676"/>
        <v>1.0565285387256211E-3</v>
      </c>
      <c r="ES61" s="73">
        <f t="shared" si="677"/>
        <v>0.28705499877919288</v>
      </c>
      <c r="ET61" s="73">
        <f t="shared" si="678"/>
        <v>8.7447802725519774E-2</v>
      </c>
      <c r="EU61" s="73">
        <f t="shared" si="679"/>
        <v>1.7070819704303301E-2</v>
      </c>
      <c r="EV61" s="73">
        <f t="shared" si="680"/>
        <v>6.4568140627421135E-3</v>
      </c>
      <c r="EW61" s="73">
        <f t="shared" si="681"/>
        <v>3.8228203145490556E-5</v>
      </c>
      <c r="EX61" s="73">
        <f t="shared" si="682"/>
        <v>1.6373973780704836E-3</v>
      </c>
      <c r="EY61" s="73">
        <f t="shared" si="683"/>
        <v>0.99999999999999989</v>
      </c>
      <c r="EZ61" s="73">
        <f t="shared" si="684"/>
        <v>9.6866470953432648E-2</v>
      </c>
      <c r="FA61" s="73">
        <f t="shared" si="685"/>
        <v>0.51463596935416644</v>
      </c>
      <c r="FB61" s="73">
        <f t="shared" si="686"/>
        <v>1.4489598518284945</v>
      </c>
      <c r="FC61" s="73">
        <f t="shared" si="687"/>
        <v>0.83937582624032325</v>
      </c>
      <c r="FD61" s="73">
        <f t="shared" si="688"/>
        <v>1.6310088610667526</v>
      </c>
      <c r="FE61" s="73">
        <f t="shared" ca="1" si="689"/>
        <v>0.16513393700760698</v>
      </c>
      <c r="FF61" s="73">
        <f t="shared" ca="1" si="690"/>
        <v>1.2035942015854326E-2</v>
      </c>
      <c r="FG61" s="73">
        <f t="shared" ca="1" si="691"/>
        <v>7.288593873529392E-2</v>
      </c>
      <c r="FH61" s="73">
        <f t="shared" ca="1" si="692"/>
        <v>0.25390931718753629</v>
      </c>
      <c r="FI61" s="73">
        <f t="shared" ca="1" si="693"/>
        <v>8.7949428276411779E-2</v>
      </c>
      <c r="FJ61" s="73">
        <f t="shared" ca="1" si="694"/>
        <v>0.34638125631070371</v>
      </c>
      <c r="FK61" s="73">
        <f t="shared" ca="1" si="695"/>
        <v>8.7949428276411779E-2</v>
      </c>
      <c r="FL61" s="73">
        <f t="shared" ca="1" si="696"/>
        <v>8.7949428276411806E-2</v>
      </c>
      <c r="FM61" s="73"/>
      <c r="FN61" s="73"/>
      <c r="FO61" s="73"/>
      <c r="FP61" s="73">
        <f t="shared" ca="1" si="697"/>
        <v>1.8383207417724443</v>
      </c>
      <c r="FQ61" s="73">
        <f t="shared" ca="1" si="698"/>
        <v>0.16167925822755569</v>
      </c>
      <c r="FR61" s="73">
        <f t="shared" si="479"/>
        <v>0.33333333333333331</v>
      </c>
      <c r="FS61" s="73">
        <f t="shared" ca="1" si="699"/>
        <v>5.3893086075851894E-2</v>
      </c>
      <c r="FT61" s="73">
        <f t="shared" ca="1" si="700"/>
        <v>0.61277358059081477</v>
      </c>
      <c r="FU61" s="73">
        <f t="shared" si="701"/>
        <v>20.026666666666664</v>
      </c>
      <c r="FV61" s="73">
        <f t="shared" ca="1" si="702"/>
        <v>3.8722182345499583</v>
      </c>
      <c r="FW61" s="73">
        <f t="shared" ca="1" si="703"/>
        <v>24.694775297809834</v>
      </c>
      <c r="FX61" s="73">
        <f t="shared" ca="1" si="704"/>
        <v>48.593660199026459</v>
      </c>
      <c r="FY61" s="73">
        <f t="shared" ca="1" si="705"/>
        <v>41.212509172272405</v>
      </c>
      <c r="FZ61" s="73">
        <f t="shared" ca="1" si="706"/>
        <v>7.9685667197951382</v>
      </c>
      <c r="GA61" s="73">
        <f t="shared" ca="1" si="707"/>
        <v>50.818924107932453</v>
      </c>
      <c r="GB61" s="73">
        <f t="shared" ca="1" si="708"/>
        <v>91.916037088622204</v>
      </c>
      <c r="GC61" s="73">
        <f t="shared" ca="1" si="709"/>
        <v>3460211286.924479</v>
      </c>
      <c r="GD61" s="2">
        <f t="shared" si="152"/>
        <v>38</v>
      </c>
      <c r="GE61">
        <f t="shared" ca="1" si="710"/>
        <v>1518.9721596285667</v>
      </c>
      <c r="GF61">
        <f t="shared" ca="1" si="711"/>
        <v>1518.7515708178489</v>
      </c>
      <c r="GG61">
        <f t="shared" ca="1" si="712"/>
        <v>1848.3705823286869</v>
      </c>
      <c r="GH61" s="2">
        <f t="shared" ca="1" si="713"/>
        <v>0.42823117346356643</v>
      </c>
      <c r="GI61" s="2">
        <f t="shared" ca="1" si="714"/>
        <v>1.1500161913488072</v>
      </c>
      <c r="GJ61" s="2">
        <f t="shared" ca="1" si="715"/>
        <v>-1.4947591438791983</v>
      </c>
      <c r="GK61" s="2">
        <f t="shared" ca="1" si="716"/>
        <v>1.3502827412434659</v>
      </c>
      <c r="GL61" s="2">
        <f t="shared" ca="1" si="717"/>
        <v>-0.42823117346356643</v>
      </c>
      <c r="GM61">
        <f t="shared" ca="1" si="718"/>
        <v>0.36899904941456557</v>
      </c>
      <c r="GN61">
        <f t="shared" ca="1" si="719"/>
        <v>5.0243020703010295E-2</v>
      </c>
      <c r="GO61">
        <f t="shared" ca="1" si="720"/>
        <v>-0.1571355644478887</v>
      </c>
      <c r="GP61">
        <f t="shared" ca="1" si="721"/>
        <v>-0.15857092754855601</v>
      </c>
      <c r="GQ61">
        <f t="shared" ca="1" si="722"/>
        <v>0.28389515672590793</v>
      </c>
      <c r="GR61">
        <f t="shared" ca="1" si="723"/>
        <v>0.136160298468853</v>
      </c>
      <c r="GS61">
        <f t="shared" ca="1" si="724"/>
        <v>5.1678383803677591E-2</v>
      </c>
      <c r="GT61">
        <f t="shared" ca="1" si="725"/>
        <v>3.224400200411961E-3</v>
      </c>
      <c r="GU61">
        <f t="shared" ca="1" si="726"/>
        <v>0.50456833213381103</v>
      </c>
      <c r="GV61">
        <f t="shared" ca="1" si="727"/>
        <v>-0.29279455100221358</v>
      </c>
      <c r="GW61">
        <f t="shared" ca="1" si="728"/>
        <v>0.58077283054616302</v>
      </c>
      <c r="GY61" s="15">
        <f t="shared" si="729"/>
        <v>0.21284337704613498</v>
      </c>
      <c r="GZ61" s="2">
        <f t="shared" si="730"/>
        <v>7.027801015111676E-2</v>
      </c>
      <c r="HA61" s="2">
        <f t="shared" si="731"/>
        <v>3.1011245551518393E-2</v>
      </c>
      <c r="HB61" s="2">
        <f t="shared" si="732"/>
        <v>0.31413263274877018</v>
      </c>
      <c r="HC61" s="2">
        <f t="shared" si="733"/>
        <v>0.6775589507644626</v>
      </c>
      <c r="HD61" s="2">
        <f t="shared" si="734"/>
        <v>0.22372081988477174</v>
      </c>
      <c r="HE61" s="2">
        <f t="shared" si="735"/>
        <v>9.8720229350765534E-2</v>
      </c>
      <c r="HF61" s="2">
        <f t="shared" si="736"/>
        <v>-1.356564403458667</v>
      </c>
      <c r="HG61" s="2">
        <f t="shared" si="737"/>
        <v>-1.357554084807894</v>
      </c>
      <c r="HH61" s="2">
        <f t="shared" si="738"/>
        <v>-1.3570592441332805</v>
      </c>
      <c r="HI61" s="2">
        <f t="shared" si="739"/>
        <v>1.6886576279457992</v>
      </c>
      <c r="HJ61" s="2">
        <f t="shared" si="740"/>
        <v>0.27014205287101251</v>
      </c>
      <c r="HK61" s="2">
        <f t="shared" si="741"/>
        <v>0.34426232090111175</v>
      </c>
      <c r="HL61" s="2">
        <f t="shared" si="742"/>
        <v>0.66890376642386762</v>
      </c>
    </row>
    <row r="62" spans="1:220">
      <c r="B62"/>
      <c r="C62"/>
      <c r="F62"/>
      <c r="G62"/>
      <c r="H62"/>
      <c r="I62"/>
      <c r="J62"/>
      <c r="K62"/>
      <c r="L62"/>
      <c r="M62"/>
      <c r="N62"/>
      <c r="O62"/>
      <c r="P62"/>
      <c r="Q62"/>
      <c r="AC62"/>
      <c r="AD62"/>
      <c r="AK62"/>
      <c r="AL62"/>
      <c r="AM62"/>
      <c r="AN62"/>
      <c r="BA62"/>
      <c r="BB62"/>
      <c r="BC62"/>
      <c r="BL62"/>
      <c r="BM62"/>
      <c r="BN62"/>
      <c r="BO62"/>
      <c r="BP62"/>
      <c r="FE62"/>
    </row>
    <row r="63" spans="1:220" ht="20.25">
      <c r="A63" s="296" t="s">
        <v>312</v>
      </c>
      <c r="B63" s="77">
        <v>3500</v>
      </c>
      <c r="C63" s="95">
        <f t="shared" ca="1" si="554"/>
        <v>-2.9255754026941787</v>
      </c>
      <c r="D63" s="70">
        <f t="shared" ca="1" si="555"/>
        <v>-2.6063666539629677</v>
      </c>
      <c r="E63" s="71">
        <f t="shared" ca="1" si="556"/>
        <v>-2.9255754026941787</v>
      </c>
      <c r="F63" s="77">
        <v>43.75007465914981</v>
      </c>
      <c r="G63" s="77">
        <v>2.4043240006884772</v>
      </c>
      <c r="H63" s="77">
        <v>9.7127910166755633</v>
      </c>
      <c r="I63" s="77">
        <v>11.807910004965791</v>
      </c>
      <c r="J63" s="77">
        <v>0.14948957426733095</v>
      </c>
      <c r="K63" s="77">
        <v>19.52</v>
      </c>
      <c r="L63" s="77">
        <v>9.3272767202174993</v>
      </c>
      <c r="M63" s="77">
        <v>1.9761674249553864</v>
      </c>
      <c r="N63" s="77">
        <v>0.91414572487119461</v>
      </c>
      <c r="O63" s="328">
        <v>0.01</v>
      </c>
      <c r="P63" s="329">
        <v>0.439461465</v>
      </c>
      <c r="Q63" s="84"/>
      <c r="R63" s="72">
        <f t="shared" si="557"/>
        <v>100.01164059079105</v>
      </c>
      <c r="S63" s="106">
        <f t="shared" ca="1" si="558"/>
        <v>3.6466205703966197</v>
      </c>
      <c r="T63" s="104">
        <f t="shared" ca="1" si="559"/>
        <v>0.34551568184327353</v>
      </c>
      <c r="U63" s="107">
        <f t="shared" ca="1" si="560"/>
        <v>1667.4473244360665</v>
      </c>
      <c r="V63" s="107">
        <f t="shared" ca="1" si="561"/>
        <v>1605.7824217842376</v>
      </c>
      <c r="W63" s="105">
        <f t="shared" ca="1" si="562"/>
        <v>1614.3224736621337</v>
      </c>
      <c r="X63" s="102">
        <f t="shared" ca="1" si="563"/>
        <v>1650.9446291393542</v>
      </c>
      <c r="Y63" s="102">
        <f t="shared" ca="1" si="564"/>
        <v>1567.1170687282843</v>
      </c>
      <c r="Z63" s="103">
        <f t="shared" ca="1" si="565"/>
        <v>1622.6369082162655</v>
      </c>
      <c r="AA63" s="103">
        <f t="shared" ca="1" si="566"/>
        <v>1614.0046735289134</v>
      </c>
      <c r="AB63" s="103">
        <f t="shared" ca="1" si="567"/>
        <v>43.508490319490924</v>
      </c>
      <c r="AC63" s="4">
        <v>13.3</v>
      </c>
      <c r="AD63" s="273">
        <f t="shared" ca="1" si="568"/>
        <v>12.52097046794395</v>
      </c>
      <c r="AE63" s="3">
        <f t="shared" ca="1" si="569"/>
        <v>119.05018656231</v>
      </c>
      <c r="AF63" s="3">
        <f t="shared" ca="1" si="570"/>
        <v>214.14757703965881</v>
      </c>
      <c r="AG63" s="2">
        <f t="shared" ca="1" si="571"/>
        <v>555.92590963689793</v>
      </c>
      <c r="AH63" s="2">
        <f t="shared" ca="1" si="572"/>
        <v>53.881480214409123</v>
      </c>
      <c r="AI63" s="87">
        <f t="shared" si="573"/>
        <v>0.4403122550406281</v>
      </c>
      <c r="AJ63" s="87">
        <f t="shared" ca="1" si="574"/>
        <v>3.6466205703966255</v>
      </c>
      <c r="AK63" s="87">
        <f t="shared" ca="1" si="575"/>
        <v>0.27923471937872735</v>
      </c>
      <c r="AL63" s="86">
        <f t="shared" ca="1" si="576"/>
        <v>0.25637678685842546</v>
      </c>
      <c r="AM63" s="87">
        <f t="shared" ca="1" si="577"/>
        <v>0.34551568184327353</v>
      </c>
      <c r="AN63" s="87">
        <f t="shared" ca="1" si="578"/>
        <v>0.34551568184327347</v>
      </c>
      <c r="AO63" s="96">
        <f t="shared" ca="1" si="579"/>
        <v>41.227044405293739</v>
      </c>
      <c r="AP63" s="96">
        <f t="shared" ca="1" si="580"/>
        <v>7.8910577716749559</v>
      </c>
      <c r="AQ63" s="96">
        <f t="shared" ca="1" si="581"/>
        <v>50.881897823031309</v>
      </c>
      <c r="AR63" s="73"/>
      <c r="AS63" s="53">
        <f t="shared" ca="1" si="138"/>
        <v>79.887677391918515</v>
      </c>
      <c r="AT63" s="68">
        <f t="shared" ca="1" si="582"/>
        <v>91.997490880280338</v>
      </c>
      <c r="AU63" s="74">
        <f t="shared" ca="1" si="583"/>
        <v>0.34551568184327347</v>
      </c>
      <c r="AV63" s="68">
        <f t="shared" si="584"/>
        <v>2.3057606272195814</v>
      </c>
      <c r="AW63" s="68">
        <f t="shared" ca="1" si="585"/>
        <v>2.3494085103746296</v>
      </c>
      <c r="AX63" s="69">
        <f t="shared" ca="1" si="586"/>
        <v>1671.4697847336124</v>
      </c>
      <c r="AY63" s="69">
        <f t="shared" ca="1" si="587"/>
        <v>1667.4473244360665</v>
      </c>
      <c r="AZ63" s="69">
        <f t="shared" ca="1" si="588"/>
        <v>1605.7824217842376</v>
      </c>
      <c r="BA63" s="75"/>
      <c r="BB63" s="74">
        <f t="shared" ca="1" si="589"/>
        <v>9.6922052526031255E-2</v>
      </c>
      <c r="BC63" s="74">
        <f t="shared" ca="1" si="590"/>
        <v>1.6923957932130432E-2</v>
      </c>
      <c r="BD63" s="68">
        <f t="shared" si="591"/>
        <v>1.4585051950647798E-2</v>
      </c>
      <c r="BE63" s="68">
        <f t="shared" ca="1" si="592"/>
        <v>0.10513305735603107</v>
      </c>
      <c r="BF63" s="68">
        <f t="shared" ca="1" si="593"/>
        <v>0.13890295260476243</v>
      </c>
      <c r="BH63" s="68">
        <f t="shared" ca="1" si="594"/>
        <v>5.2215466338395092E-2</v>
      </c>
      <c r="BI63" s="68">
        <f t="shared" ca="1" si="595"/>
        <v>0.12906714819268242</v>
      </c>
      <c r="BK63" s="53">
        <f t="shared" ca="1" si="596"/>
        <v>0.56259865051211211</v>
      </c>
      <c r="BL63" s="53">
        <f t="shared" si="597"/>
        <v>2.457279967083479E-2</v>
      </c>
      <c r="BM63" s="53">
        <f t="shared" si="598"/>
        <v>2.4554454856853196E-2</v>
      </c>
      <c r="BN63" s="53">
        <f t="shared" si="599"/>
        <v>0.28739456065861835</v>
      </c>
      <c r="BO63" s="53">
        <f t="shared" si="600"/>
        <v>0.40252954269776464</v>
      </c>
      <c r="BP63" s="53">
        <f t="shared" si="601"/>
        <v>2.1375990051228477E-2</v>
      </c>
      <c r="BQ63" s="54">
        <f t="shared" si="602"/>
        <v>1435.323136</v>
      </c>
      <c r="BR63" s="262">
        <f t="shared" si="603"/>
        <v>4.5396568154604902</v>
      </c>
      <c r="BS63" s="54">
        <f t="shared" si="604"/>
        <v>1640.5091700048415</v>
      </c>
      <c r="BT63" s="67"/>
      <c r="BU63" s="73">
        <f t="shared" si="605"/>
        <v>0.72819698167692759</v>
      </c>
      <c r="BV63" s="73">
        <f t="shared" si="606"/>
        <v>3.0091664589342641E-2</v>
      </c>
      <c r="BW63" s="73">
        <f t="shared" si="607"/>
        <v>0.19052159703169017</v>
      </c>
      <c r="BX63" s="73">
        <f t="shared" si="608"/>
        <v>0.16434112741775633</v>
      </c>
      <c r="BY63" s="73">
        <f t="shared" si="609"/>
        <v>2.1072677511605716E-3</v>
      </c>
      <c r="BZ63" s="73">
        <f t="shared" si="610"/>
        <v>0.48436724565756828</v>
      </c>
      <c r="CA63" s="73">
        <f t="shared" si="611"/>
        <v>0.16632091155879991</v>
      </c>
      <c r="CB63" s="73">
        <f t="shared" si="612"/>
        <v>6.3767906581329026E-2</v>
      </c>
      <c r="CC63" s="73">
        <f t="shared" si="613"/>
        <v>1.9408614116161245E-2</v>
      </c>
      <c r="CD63" s="73">
        <f t="shared" si="614"/>
        <v>1.3158760444766102E-4</v>
      </c>
      <c r="CE63" s="73">
        <f t="shared" si="615"/>
        <v>6.1922145272650412E-3</v>
      </c>
      <c r="CF63" s="73">
        <f t="shared" si="616"/>
        <v>1.8554471185124486</v>
      </c>
      <c r="CG63" s="73">
        <f t="shared" si="617"/>
        <v>0.39246442240872842</v>
      </c>
      <c r="CH63" s="73">
        <f t="shared" si="618"/>
        <v>1.6218012515208609E-2</v>
      </c>
      <c r="CI63" s="73">
        <f t="shared" si="619"/>
        <v>0.10268231044193563</v>
      </c>
      <c r="CJ63" s="73">
        <f t="shared" si="620"/>
        <v>8.8572250741110914E-2</v>
      </c>
      <c r="CK63" s="73">
        <f t="shared" si="621"/>
        <v>1.1357196495311668E-3</v>
      </c>
      <c r="CL63" s="73">
        <f t="shared" si="622"/>
        <v>0.26105149579573889</v>
      </c>
      <c r="CM63" s="73">
        <f t="shared" si="623"/>
        <v>8.9639262633441644E-2</v>
      </c>
      <c r="CN63" s="73">
        <f t="shared" si="624"/>
        <v>3.4367946111260296E-2</v>
      </c>
      <c r="CO63" s="73">
        <f t="shared" si="625"/>
        <v>1.0460343451729061E-2</v>
      </c>
      <c r="CP63" s="73">
        <f t="shared" si="626"/>
        <v>7.0919619931371364E-5</v>
      </c>
      <c r="CQ63" s="73">
        <f t="shared" si="627"/>
        <v>3.3373166313839606E-3</v>
      </c>
      <c r="CR63" s="73"/>
      <c r="CS63" s="73">
        <f t="shared" ca="1" si="628"/>
        <v>0.68620247012805824</v>
      </c>
      <c r="CT63" s="73">
        <f t="shared" ca="1" si="629"/>
        <v>0.10982683050347887</v>
      </c>
      <c r="CU63" s="73">
        <f t="shared" ca="1" si="630"/>
        <v>1.2625781097526381</v>
      </c>
      <c r="CV63" s="73">
        <f t="shared" ca="1" si="631"/>
        <v>2.0586074103841749</v>
      </c>
      <c r="CW63" s="73">
        <f t="shared" ca="1" si="632"/>
        <v>0.33333333333333331</v>
      </c>
      <c r="CX63" s="73">
        <f t="shared" ca="1" si="633"/>
        <v>5.3350060798131059E-2</v>
      </c>
      <c r="CY63" s="73">
        <f t="shared" ca="1" si="634"/>
        <v>0.61331660586853576</v>
      </c>
      <c r="CZ63" s="73">
        <f t="shared" si="635"/>
        <v>0.44039872881982262</v>
      </c>
      <c r="DA63" s="73">
        <f t="shared" si="636"/>
        <v>0.39246442240872842</v>
      </c>
      <c r="DB63" s="73">
        <f t="shared" si="637"/>
        <v>-0.49366533470917551</v>
      </c>
      <c r="DC63" s="73"/>
      <c r="DD63" s="73">
        <f t="shared" ca="1" si="638"/>
        <v>1671.4697847336124</v>
      </c>
      <c r="DE63" s="73">
        <f t="shared" ca="1" si="639"/>
        <v>15405.46516216806</v>
      </c>
      <c r="DF63" s="73">
        <f t="shared" si="640"/>
        <v>7.9220962797508552</v>
      </c>
      <c r="DG63" s="73">
        <f t="shared" si="641"/>
        <v>1717.0841304657695</v>
      </c>
      <c r="DH63" s="73">
        <f t="shared" si="642"/>
        <v>1443.9341304657696</v>
      </c>
      <c r="DI63" s="73">
        <f t="shared" si="449"/>
        <v>13602.905801982104</v>
      </c>
      <c r="DJ63" s="73">
        <f t="shared" si="643"/>
        <v>7.9220962797508552</v>
      </c>
      <c r="DK63" s="73">
        <f t="shared" si="644"/>
        <v>1717.0841304657695</v>
      </c>
      <c r="DL63" s="73">
        <f t="shared" ca="1" si="645"/>
        <v>3.6466205703966197</v>
      </c>
      <c r="DM63" s="73">
        <f t="shared" si="646"/>
        <v>-0.49366533470917551</v>
      </c>
      <c r="DN63" s="73">
        <f t="shared" si="647"/>
        <v>0.44039872881982262</v>
      </c>
      <c r="DO63" s="73">
        <f t="shared" si="648"/>
        <v>0.39246442240872842</v>
      </c>
      <c r="DP63" s="73">
        <f t="shared" si="649"/>
        <v>2.3057606272195814</v>
      </c>
      <c r="DQ63" s="73">
        <f t="shared" ca="1" si="650"/>
        <v>15405.524547947043</v>
      </c>
      <c r="DR63" s="73">
        <f t="shared" si="651"/>
        <v>7.9218730525787198</v>
      </c>
      <c r="DS63" s="73">
        <f t="shared" ca="1" si="652"/>
        <v>1671.5320777987918</v>
      </c>
      <c r="DT63" s="73">
        <f t="shared" si="653"/>
        <v>1444.0006460295958</v>
      </c>
      <c r="DU63" s="73">
        <f t="shared" ca="1" si="654"/>
        <v>1614.3224736621337</v>
      </c>
      <c r="DV63" s="76">
        <f t="shared" ca="1" si="655"/>
        <v>2.3494085103746296</v>
      </c>
      <c r="DW63" s="73">
        <f t="shared" ca="1" si="656"/>
        <v>2.8643240811483288</v>
      </c>
      <c r="DX63" s="73">
        <f t="shared" ca="1" si="657"/>
        <v>4630.8923272231496</v>
      </c>
      <c r="DY63" s="73">
        <f t="shared" ca="1" si="658"/>
        <v>1616.748732345465</v>
      </c>
      <c r="DZ63" s="73">
        <f t="shared" ca="1" si="659"/>
        <v>3.7502342078859119</v>
      </c>
      <c r="EA63" s="73"/>
      <c r="EB63" s="73">
        <f t="shared" si="660"/>
        <v>0.72819698167692759</v>
      </c>
      <c r="EC63" s="73">
        <f t="shared" si="661"/>
        <v>3.0091664589342641E-2</v>
      </c>
      <c r="ED63" s="73">
        <f t="shared" si="662"/>
        <v>9.5260798515845083E-2</v>
      </c>
      <c r="EE63" s="73">
        <f t="shared" si="663"/>
        <v>0.16434112741775633</v>
      </c>
      <c r="EF63" s="73">
        <f t="shared" si="664"/>
        <v>2.1072677511605716E-3</v>
      </c>
      <c r="EG63" s="73">
        <f t="shared" si="665"/>
        <v>0.48436724565756828</v>
      </c>
      <c r="EH63" s="73">
        <f t="shared" si="666"/>
        <v>0.16632091155879991</v>
      </c>
      <c r="EI63" s="73">
        <f t="shared" si="667"/>
        <v>3.1883953290664513E-2</v>
      </c>
      <c r="EJ63" s="73">
        <f t="shared" si="668"/>
        <v>9.7043070580806225E-3</v>
      </c>
      <c r="EK63" s="73">
        <f t="shared" si="669"/>
        <v>6.5793802223830508E-5</v>
      </c>
      <c r="EL63" s="73">
        <f t="shared" si="670"/>
        <v>3.0961072636325206E-3</v>
      </c>
      <c r="EM63" s="73">
        <f t="shared" si="671"/>
        <v>1.7154361585820022</v>
      </c>
      <c r="EN63" s="73">
        <f t="shared" si="672"/>
        <v>0.42449669609323321</v>
      </c>
      <c r="EO63" s="73">
        <f t="shared" si="673"/>
        <v>1.7541698907767418E-2</v>
      </c>
      <c r="EP63" s="73">
        <f t="shared" si="674"/>
        <v>5.5531532339034219E-2</v>
      </c>
      <c r="EQ63" s="73">
        <f t="shared" si="675"/>
        <v>9.5801366081499917E-2</v>
      </c>
      <c r="ER63" s="73">
        <f t="shared" si="676"/>
        <v>1.2284151413145339E-3</v>
      </c>
      <c r="ES63" s="73">
        <f t="shared" si="677"/>
        <v>0.28235807158102078</v>
      </c>
      <c r="ET63" s="73">
        <f t="shared" si="678"/>
        <v>9.6955465656199391E-2</v>
      </c>
      <c r="EU63" s="73">
        <f t="shared" si="679"/>
        <v>1.8586499492362414E-2</v>
      </c>
      <c r="EV63" s="73">
        <f t="shared" si="680"/>
        <v>5.657049380434132E-3</v>
      </c>
      <c r="EW63" s="73">
        <f t="shared" si="681"/>
        <v>3.8353978896082246E-5</v>
      </c>
      <c r="EX63" s="73">
        <f t="shared" si="682"/>
        <v>1.8048513482377543E-3</v>
      </c>
      <c r="EY63" s="73">
        <f t="shared" si="683"/>
        <v>0.99999999999999978</v>
      </c>
      <c r="EZ63" s="73">
        <f t="shared" si="684"/>
        <v>0.10268231044193563</v>
      </c>
      <c r="FA63" s="73">
        <f t="shared" si="685"/>
        <v>0.51136474536587262</v>
      </c>
      <c r="FB63" s="73">
        <f t="shared" si="686"/>
        <v>1.4426508801204516</v>
      </c>
      <c r="FC63" s="73">
        <f t="shared" si="687"/>
        <v>0.83984277877741276</v>
      </c>
      <c r="FD63" s="73">
        <f t="shared" si="688"/>
        <v>1.6423556500292562</v>
      </c>
      <c r="FE63" s="73">
        <f t="shared" ca="1" si="689"/>
        <v>0.17384353723504536</v>
      </c>
      <c r="FF63" s="73">
        <f t="shared" ca="1" si="690"/>
        <v>1.2357800758834135E-2</v>
      </c>
      <c r="FG63" s="73">
        <f t="shared" ca="1" si="691"/>
        <v>7.1085764563831644E-2</v>
      </c>
      <c r="FH63" s="73">
        <f t="shared" ca="1" si="692"/>
        <v>0.25175750835029365</v>
      </c>
      <c r="FI63" s="73">
        <f t="shared" ca="1" si="693"/>
        <v>8.69861671568153E-2</v>
      </c>
      <c r="FJ63" s="73">
        <f t="shared" ca="1" si="694"/>
        <v>0.34551568184327336</v>
      </c>
      <c r="FK63" s="73">
        <f t="shared" ca="1" si="695"/>
        <v>8.6986167156815314E-2</v>
      </c>
      <c r="FL63" s="73">
        <f t="shared" ca="1" si="696"/>
        <v>8.6986167156815342E-2</v>
      </c>
      <c r="FM63" s="73"/>
      <c r="FN63" s="73"/>
      <c r="FO63" s="73"/>
      <c r="FP63" s="73">
        <f t="shared" ca="1" si="697"/>
        <v>1.8399498176056068</v>
      </c>
      <c r="FQ63" s="73">
        <f t="shared" ca="1" si="698"/>
        <v>0.16005018239439317</v>
      </c>
      <c r="FR63" s="73">
        <f t="shared" si="479"/>
        <v>0.33333333333333331</v>
      </c>
      <c r="FS63" s="73">
        <f t="shared" ca="1" si="699"/>
        <v>5.3350060798131059E-2</v>
      </c>
      <c r="FT63" s="73">
        <f t="shared" ca="1" si="700"/>
        <v>0.61331660586853565</v>
      </c>
      <c r="FU63" s="73">
        <f t="shared" si="701"/>
        <v>20.026666666666664</v>
      </c>
      <c r="FV63" s="73">
        <f t="shared" ca="1" si="702"/>
        <v>3.8332018683457161</v>
      </c>
      <c r="FW63" s="73">
        <f t="shared" ca="1" si="703"/>
        <v>24.716659216501984</v>
      </c>
      <c r="FX63" s="73">
        <f t="shared" ca="1" si="704"/>
        <v>48.576527751514362</v>
      </c>
      <c r="FY63" s="73">
        <f t="shared" ca="1" si="705"/>
        <v>41.227044405293739</v>
      </c>
      <c r="FZ63" s="73">
        <f t="shared" ca="1" si="706"/>
        <v>7.8910577716749559</v>
      </c>
      <c r="GA63" s="73">
        <f t="shared" ca="1" si="707"/>
        <v>50.881897823031309</v>
      </c>
      <c r="GB63" s="73">
        <f t="shared" ca="1" si="708"/>
        <v>91.997490880280338</v>
      </c>
      <c r="GC63" s="73">
        <f t="shared" ca="1" si="709"/>
        <v>3646620570.3966198</v>
      </c>
      <c r="GD63" s="2">
        <f t="shared" si="152"/>
        <v>38</v>
      </c>
      <c r="GE63">
        <f t="shared" ca="1" si="710"/>
        <v>1536.9357863850933</v>
      </c>
      <c r="GF63">
        <f t="shared" ca="1" si="711"/>
        <v>1536.7636903587302</v>
      </c>
      <c r="GG63">
        <f t="shared" ca="1" si="712"/>
        <v>1857.5307164919031</v>
      </c>
      <c r="GH63" s="2">
        <f t="shared" ca="1" si="713"/>
        <v>0.40740981282496408</v>
      </c>
      <c r="GI63" s="2">
        <f t="shared" ca="1" si="714"/>
        <v>1.0937205877402207</v>
      </c>
      <c r="GJ63" s="2">
        <f t="shared" ca="1" si="715"/>
        <v>-1.3881330337331339</v>
      </c>
      <c r="GK63" s="2">
        <f t="shared" ca="1" si="716"/>
        <v>1.299765825422516</v>
      </c>
      <c r="GL63" s="2">
        <f t="shared" ca="1" si="717"/>
        <v>-0.40740981282496408</v>
      </c>
      <c r="GM63">
        <f t="shared" ca="1" si="718"/>
        <v>0.35599567413919664</v>
      </c>
      <c r="GN63">
        <f t="shared" ca="1" si="719"/>
        <v>4.5116371293101164E-2</v>
      </c>
      <c r="GO63">
        <f t="shared" ca="1" si="720"/>
        <v>-0.14978074909221775</v>
      </c>
      <c r="GP63">
        <f t="shared" ca="1" si="721"/>
        <v>-0.15672431327871197</v>
      </c>
      <c r="GQ63">
        <f t="shared" ca="1" si="722"/>
        <v>0.28049170251743466</v>
      </c>
      <c r="GR63">
        <f t="shared" ca="1" si="723"/>
        <v>0.12673292000582109</v>
      </c>
      <c r="GS63">
        <f t="shared" ca="1" si="724"/>
        <v>5.2059935479595393E-2</v>
      </c>
      <c r="GT63">
        <f t="shared" ca="1" si="725"/>
        <v>3.635128725975868E-3</v>
      </c>
      <c r="GU63">
        <f t="shared" ca="1" si="726"/>
        <v>0.50880115523089497</v>
      </c>
      <c r="GV63">
        <f t="shared" ca="1" si="727"/>
        <v>-0.30219817885798139</v>
      </c>
      <c r="GW63">
        <f t="shared" ca="1" si="728"/>
        <v>0.56259865051211022</v>
      </c>
      <c r="GY63" s="15">
        <f t="shared" si="729"/>
        <v>0.20299158348955537</v>
      </c>
      <c r="GZ63" s="2">
        <f t="shared" si="730"/>
        <v>7.3111585225697717E-2</v>
      </c>
      <c r="HA63" s="2">
        <f t="shared" si="731"/>
        <v>5.8251295709641285E-3</v>
      </c>
      <c r="HB63" s="2">
        <f t="shared" si="732"/>
        <v>0.28192829828621724</v>
      </c>
      <c r="HC63" s="2">
        <f t="shared" si="733"/>
        <v>0.72001138134588993</v>
      </c>
      <c r="HD63" s="2">
        <f t="shared" si="734"/>
        <v>0.25932687733061083</v>
      </c>
      <c r="HE63" s="2">
        <f t="shared" si="735"/>
        <v>2.0661741323499148E-2</v>
      </c>
      <c r="HF63" s="2">
        <f t="shared" si="736"/>
        <v>3.6832800619052586E-2</v>
      </c>
      <c r="HG63" s="2">
        <f t="shared" si="737"/>
        <v>-1.2393195805645723</v>
      </c>
      <c r="HH63" s="2">
        <f t="shared" si="738"/>
        <v>-0.60124338997275983</v>
      </c>
      <c r="HI63" s="2">
        <f t="shared" si="739"/>
        <v>1.0141628362786217</v>
      </c>
      <c r="HJ63" s="2">
        <f t="shared" si="740"/>
        <v>0.19696930009675129</v>
      </c>
      <c r="HK63" s="2">
        <f t="shared" si="741"/>
        <v>0.34357573442958877</v>
      </c>
      <c r="HL63" s="2">
        <f t="shared" si="742"/>
        <v>0.67920571859263879</v>
      </c>
    </row>
    <row r="64" spans="1:220" ht="20.25">
      <c r="A64" s="296" t="s">
        <v>316</v>
      </c>
      <c r="B64" s="77">
        <v>3500</v>
      </c>
      <c r="C64" s="95">
        <f t="shared" ca="1" si="554"/>
        <v>-5.3846274162235392</v>
      </c>
      <c r="D64" s="70">
        <f t="shared" ca="1" si="555"/>
        <v>-5.5949803688818776</v>
      </c>
      <c r="E64" s="71">
        <f t="shared" ca="1" si="556"/>
        <v>-5.3846274162235392</v>
      </c>
      <c r="F64" s="322">
        <v>48.5</v>
      </c>
      <c r="G64" s="322">
        <v>0.9</v>
      </c>
      <c r="H64" s="322">
        <v>15.9</v>
      </c>
      <c r="I64" s="322">
        <v>8</v>
      </c>
      <c r="J64" s="322">
        <v>0.1</v>
      </c>
      <c r="K64" s="322">
        <v>13.2</v>
      </c>
      <c r="L64" s="322">
        <v>11.1</v>
      </c>
      <c r="M64" s="322">
        <v>2.2999999999999998</v>
      </c>
      <c r="N64" s="322">
        <v>0</v>
      </c>
      <c r="O64" s="328">
        <v>0.01</v>
      </c>
      <c r="P64" s="329">
        <v>0</v>
      </c>
      <c r="Q64" s="84"/>
      <c r="R64" s="72">
        <f t="shared" si="557"/>
        <v>100.00999999999999</v>
      </c>
      <c r="S64" s="106">
        <f t="shared" ca="1" si="558"/>
        <v>1.5928764968818332</v>
      </c>
      <c r="T64" s="104">
        <f t="shared" ca="1" si="559"/>
        <v>0.34207274197505466</v>
      </c>
      <c r="U64" s="107">
        <f t="shared" ca="1" si="560"/>
        <v>1394.1743696600879</v>
      </c>
      <c r="V64" s="107">
        <f t="shared" ca="1" si="561"/>
        <v>1376.2362819432267</v>
      </c>
      <c r="W64" s="105">
        <f t="shared" ca="1" si="562"/>
        <v>1384.082763414397</v>
      </c>
      <c r="X64" s="102">
        <f t="shared" ca="1" si="563"/>
        <v>1453.3352872807918</v>
      </c>
      <c r="Y64" s="102">
        <f t="shared" ca="1" si="564"/>
        <v>1402.5186432607702</v>
      </c>
      <c r="Z64" s="103">
        <f t="shared" ca="1" si="565"/>
        <v>1426.7846366979365</v>
      </c>
      <c r="AA64" s="103">
        <f t="shared" ca="1" si="566"/>
        <v>1409.7135079147693</v>
      </c>
      <c r="AB64" s="103">
        <f t="shared" ca="1" si="567"/>
        <v>30.617662171019223</v>
      </c>
      <c r="AC64" s="4">
        <v>13.3</v>
      </c>
      <c r="AD64" s="273">
        <f t="shared" ca="1" si="568"/>
        <v>10.819953201479308</v>
      </c>
      <c r="AE64" s="3">
        <f t="shared" ca="1" si="569"/>
        <v>101.2450778831239</v>
      </c>
      <c r="AF64" s="3">
        <f t="shared" ca="1" si="570"/>
        <v>212.38902801119428</v>
      </c>
      <c r="AG64" s="2">
        <f t="shared" ca="1" si="571"/>
        <v>476.6963662444353</v>
      </c>
      <c r="AH64" s="2">
        <f t="shared" ca="1" si="572"/>
        <v>50.712075123540295</v>
      </c>
      <c r="AI64" s="87">
        <f t="shared" si="573"/>
        <v>0.28995061430624847</v>
      </c>
      <c r="AJ64" s="87">
        <f t="shared" ca="1" si="574"/>
        <v>1.5928764968818332</v>
      </c>
      <c r="AK64" s="87">
        <f t="shared" ca="1" si="575"/>
        <v>0.27906816418943753</v>
      </c>
      <c r="AL64" s="86">
        <f t="shared" ca="1" si="576"/>
        <v>0.27529700302574522</v>
      </c>
      <c r="AM64" s="87">
        <f t="shared" ca="1" si="577"/>
        <v>0.34207274197505466</v>
      </c>
      <c r="AN64" s="87">
        <f t="shared" ca="1" si="578"/>
        <v>0.34207274197505472</v>
      </c>
      <c r="AO64" s="96">
        <f t="shared" ca="1" si="579"/>
        <v>41.128219810999958</v>
      </c>
      <c r="AP64" s="96">
        <f t="shared" ca="1" si="580"/>
        <v>8.4180386835648289</v>
      </c>
      <c r="AQ64" s="96">
        <f t="shared" ca="1" si="581"/>
        <v>50.453741505435211</v>
      </c>
      <c r="AR64" s="73"/>
      <c r="AS64" s="53">
        <f t="shared" ca="1" si="138"/>
        <v>78.519092861999795</v>
      </c>
      <c r="AT64" s="68">
        <f t="shared" ca="1" si="582"/>
        <v>91.442554123309009</v>
      </c>
      <c r="AU64" s="74">
        <f t="shared" ca="1" si="583"/>
        <v>0.34207274197505472</v>
      </c>
      <c r="AV64" s="68">
        <f t="shared" si="584"/>
        <v>3.3900619144952198</v>
      </c>
      <c r="AW64" s="68">
        <f t="shared" ca="1" si="585"/>
        <v>3.4301251404305986</v>
      </c>
      <c r="AX64" s="69">
        <f t="shared" ca="1" si="586"/>
        <v>1394.3181445731902</v>
      </c>
      <c r="AY64" s="69">
        <f t="shared" ca="1" si="587"/>
        <v>1394.1743696600879</v>
      </c>
      <c r="AZ64" s="69">
        <f t="shared" ca="1" si="588"/>
        <v>1376.2362819432267</v>
      </c>
      <c r="BA64" s="75"/>
      <c r="BB64" s="74">
        <f t="shared" ca="1" si="589"/>
        <v>0.10638234044674193</v>
      </c>
      <c r="BC64" s="74">
        <f t="shared" ca="1" si="590"/>
        <v>2.8486349002877439E-2</v>
      </c>
      <c r="BD64" s="68">
        <f t="shared" si="591"/>
        <v>7.3009999999999964E-2</v>
      </c>
      <c r="BE64" s="68">
        <f t="shared" ca="1" si="592"/>
        <v>0.1457574710753278</v>
      </c>
      <c r="BF64" s="68">
        <f t="shared" ca="1" si="593"/>
        <v>0.10129020073867492</v>
      </c>
      <c r="BH64" s="68">
        <f t="shared" ca="1" si="594"/>
        <v>7.03954007505143E-2</v>
      </c>
      <c r="BI64" s="68">
        <f t="shared" ca="1" si="595"/>
        <v>0.10547168997296502</v>
      </c>
      <c r="BK64" s="53">
        <f t="shared" ca="1" si="596"/>
        <v>0.1245615237114569</v>
      </c>
      <c r="BL64" s="53">
        <f t="shared" si="597"/>
        <v>8.42605986241311E-2</v>
      </c>
      <c r="BM64" s="53">
        <f t="shared" si="598"/>
        <v>0.11435894119457338</v>
      </c>
      <c r="BN64" s="53">
        <f t="shared" si="599"/>
        <v>0.18952306251479126</v>
      </c>
      <c r="BO64" s="53">
        <f t="shared" si="600"/>
        <v>0.14818898269216779</v>
      </c>
      <c r="BP64" s="53">
        <f t="shared" si="601"/>
        <v>0.23346501966072941</v>
      </c>
      <c r="BQ64" s="54">
        <f t="shared" si="602"/>
        <v>1314.2015999999999</v>
      </c>
      <c r="BR64" s="262">
        <f t="shared" si="603"/>
        <v>2.1560702771840137</v>
      </c>
      <c r="BS64" s="54">
        <f t="shared" si="604"/>
        <v>1423.5274688090399</v>
      </c>
      <c r="BT64" s="67"/>
      <c r="BU64" s="73">
        <f t="shared" si="605"/>
        <v>0.80725699067909451</v>
      </c>
      <c r="BV64" s="73">
        <f t="shared" si="606"/>
        <v>1.1264080100125156E-2</v>
      </c>
      <c r="BW64" s="73">
        <f t="shared" si="607"/>
        <v>0.31188701451549627</v>
      </c>
      <c r="BX64" s="73">
        <f t="shared" si="608"/>
        <v>0.11134307585247043</v>
      </c>
      <c r="BY64" s="73">
        <f t="shared" si="609"/>
        <v>1.4096419509444602E-3</v>
      </c>
      <c r="BZ64" s="73">
        <f t="shared" si="610"/>
        <v>0.32754342431761785</v>
      </c>
      <c r="CA64" s="73">
        <f t="shared" si="611"/>
        <v>0.19793152639087019</v>
      </c>
      <c r="CB64" s="73">
        <f t="shared" si="612"/>
        <v>7.4217489512746052E-2</v>
      </c>
      <c r="CC64" s="73">
        <f t="shared" si="613"/>
        <v>0</v>
      </c>
      <c r="CD64" s="73">
        <f t="shared" si="614"/>
        <v>1.3158760444766102E-4</v>
      </c>
      <c r="CE64" s="73">
        <f t="shared" si="615"/>
        <v>0</v>
      </c>
      <c r="CF64" s="73">
        <f t="shared" si="616"/>
        <v>1.8429848309238124</v>
      </c>
      <c r="CG64" s="73">
        <f t="shared" si="617"/>
        <v>0.43801607974952772</v>
      </c>
      <c r="CH64" s="73">
        <f t="shared" si="618"/>
        <v>6.1118680474862817E-3</v>
      </c>
      <c r="CI64" s="73">
        <f t="shared" si="619"/>
        <v>0.16922929005289758</v>
      </c>
      <c r="CJ64" s="73">
        <f t="shared" si="620"/>
        <v>6.0414537322403643E-2</v>
      </c>
      <c r="CK64" s="73">
        <f t="shared" si="621"/>
        <v>7.6486899256672926E-4</v>
      </c>
      <c r="CL64" s="73">
        <f t="shared" si="622"/>
        <v>0.17772442769018007</v>
      </c>
      <c r="CM64" s="73">
        <f t="shared" si="623"/>
        <v>0.10739726289101104</v>
      </c>
      <c r="CN64" s="73">
        <f t="shared" si="624"/>
        <v>4.0270266074595891E-2</v>
      </c>
      <c r="CO64" s="73">
        <f t="shared" si="625"/>
        <v>0</v>
      </c>
      <c r="CP64" s="73">
        <f t="shared" si="626"/>
        <v>7.1399179331118842E-5</v>
      </c>
      <c r="CQ64" s="73">
        <f t="shared" si="627"/>
        <v>0</v>
      </c>
      <c r="CR64" s="73"/>
      <c r="CS64" s="73">
        <f t="shared" ca="1" si="628"/>
        <v>0.68455758673435352</v>
      </c>
      <c r="CT64" s="73">
        <f t="shared" ca="1" si="629"/>
        <v>0.11716128995914864</v>
      </c>
      <c r="CU64" s="73">
        <f t="shared" ca="1" si="630"/>
        <v>1.2519538835095587</v>
      </c>
      <c r="CV64" s="73">
        <f t="shared" ca="1" si="631"/>
        <v>2.0536727602030611</v>
      </c>
      <c r="CW64" s="73">
        <f t="shared" ca="1" si="632"/>
        <v>0.33333333333333326</v>
      </c>
      <c r="CX64" s="73">
        <f t="shared" ca="1" si="633"/>
        <v>5.7049639177939954E-2</v>
      </c>
      <c r="CY64" s="73">
        <f t="shared" ca="1" si="634"/>
        <v>0.6096170274887267</v>
      </c>
      <c r="CZ64" s="73">
        <f t="shared" si="635"/>
        <v>0.34630109689616145</v>
      </c>
      <c r="DA64" s="73">
        <f t="shared" si="636"/>
        <v>0.43801607974952772</v>
      </c>
      <c r="DB64" s="73">
        <f t="shared" si="637"/>
        <v>-0.69181940370829387</v>
      </c>
      <c r="DC64" s="73"/>
      <c r="DD64" s="73">
        <f t="shared" ca="1" si="638"/>
        <v>1394.3181445731902</v>
      </c>
      <c r="DE64" s="73">
        <f t="shared" ca="1" si="639"/>
        <v>14390.252020853501</v>
      </c>
      <c r="DF64" s="73">
        <f t="shared" si="640"/>
        <v>8.6300011593546042</v>
      </c>
      <c r="DG64" s="73">
        <f t="shared" si="641"/>
        <v>1576.2345277598317</v>
      </c>
      <c r="DH64" s="73">
        <f t="shared" si="642"/>
        <v>1303.0845277598319</v>
      </c>
      <c r="DI64" s="73">
        <f t="shared" si="449"/>
        <v>13602.905801982104</v>
      </c>
      <c r="DJ64" s="73">
        <f t="shared" si="643"/>
        <v>8.6300011593546042</v>
      </c>
      <c r="DK64" s="73">
        <f t="shared" si="644"/>
        <v>1576.2345277598317</v>
      </c>
      <c r="DL64" s="73">
        <f t="shared" ca="1" si="645"/>
        <v>1.5928764968818332</v>
      </c>
      <c r="DM64" s="73">
        <f t="shared" si="646"/>
        <v>-0.69181940370829387</v>
      </c>
      <c r="DN64" s="73">
        <f t="shared" si="647"/>
        <v>0.34630109689616151</v>
      </c>
      <c r="DO64" s="73">
        <f t="shared" si="648"/>
        <v>0.43801607974952772</v>
      </c>
      <c r="DP64" s="73">
        <f t="shared" si="649"/>
        <v>3.3900619144952198</v>
      </c>
      <c r="DQ64" s="73">
        <f t="shared" ca="1" si="650"/>
        <v>14390.358852408684</v>
      </c>
      <c r="DR64" s="73">
        <f t="shared" si="651"/>
        <v>8.6297779321824688</v>
      </c>
      <c r="DS64" s="73">
        <f t="shared" ca="1" si="652"/>
        <v>1394.3736565177023</v>
      </c>
      <c r="DT64" s="73">
        <f t="shared" si="653"/>
        <v>1303.1419436514152</v>
      </c>
      <c r="DU64" s="73">
        <f t="shared" ca="1" si="654"/>
        <v>1384.082763414397</v>
      </c>
      <c r="DV64" s="76">
        <f t="shared" ca="1" si="655"/>
        <v>3.4301251404305986</v>
      </c>
      <c r="DW64" s="73">
        <f t="shared" ca="1" si="656"/>
        <v>3.272951744602874</v>
      </c>
      <c r="DX64" s="73">
        <f t="shared" ca="1" si="657"/>
        <v>4517.75156621322</v>
      </c>
      <c r="DY64" s="73">
        <f t="shared" ca="1" si="658"/>
        <v>1380.3294147746089</v>
      </c>
      <c r="DZ64" s="73">
        <f t="shared" ca="1" si="659"/>
        <v>5.1828058181713956</v>
      </c>
      <c r="EA64" s="73"/>
      <c r="EB64" s="73">
        <f t="shared" si="660"/>
        <v>0.80725699067909451</v>
      </c>
      <c r="EC64" s="73">
        <f t="shared" si="661"/>
        <v>1.1264080100125156E-2</v>
      </c>
      <c r="ED64" s="73">
        <f t="shared" si="662"/>
        <v>0.15594350725774814</v>
      </c>
      <c r="EE64" s="73">
        <f t="shared" si="663"/>
        <v>0.11134307585247043</v>
      </c>
      <c r="EF64" s="73">
        <f t="shared" si="664"/>
        <v>1.4096419509444602E-3</v>
      </c>
      <c r="EG64" s="73">
        <f t="shared" si="665"/>
        <v>0.32754342431761785</v>
      </c>
      <c r="EH64" s="73">
        <f t="shared" si="666"/>
        <v>0.19793152639087019</v>
      </c>
      <c r="EI64" s="73">
        <f t="shared" si="667"/>
        <v>3.7108744756373026E-2</v>
      </c>
      <c r="EJ64" s="73">
        <f t="shared" si="668"/>
        <v>0</v>
      </c>
      <c r="EK64" s="73">
        <f t="shared" si="669"/>
        <v>6.5793802223830508E-5</v>
      </c>
      <c r="EL64" s="73">
        <f t="shared" si="670"/>
        <v>0</v>
      </c>
      <c r="EM64" s="73">
        <f t="shared" si="671"/>
        <v>1.6498667851074675</v>
      </c>
      <c r="EN64" s="73">
        <f t="shared" si="672"/>
        <v>0.48928616417143772</v>
      </c>
      <c r="EO64" s="73">
        <f t="shared" si="673"/>
        <v>6.8272664204167529E-3</v>
      </c>
      <c r="EP64" s="73">
        <f t="shared" si="674"/>
        <v>9.4518847621743243E-2</v>
      </c>
      <c r="EQ64" s="73">
        <f t="shared" si="675"/>
        <v>6.7486100609763996E-2</v>
      </c>
      <c r="ER64" s="73">
        <f t="shared" si="676"/>
        <v>8.5439743600428943E-4</v>
      </c>
      <c r="ES64" s="73">
        <f t="shared" si="677"/>
        <v>0.19852719460394655</v>
      </c>
      <c r="ET64" s="73">
        <f t="shared" si="678"/>
        <v>0.11996818663027846</v>
      </c>
      <c r="EU64" s="73">
        <f t="shared" si="679"/>
        <v>2.2491964255135829E-2</v>
      </c>
      <c r="EV64" s="73">
        <f t="shared" si="680"/>
        <v>0</v>
      </c>
      <c r="EW64" s="73">
        <f t="shared" si="681"/>
        <v>3.9878251273205002E-5</v>
      </c>
      <c r="EX64" s="73">
        <f t="shared" si="682"/>
        <v>0</v>
      </c>
      <c r="EY64" s="73">
        <f t="shared" si="683"/>
        <v>0.99999999999999989</v>
      </c>
      <c r="EZ64" s="73">
        <f t="shared" si="684"/>
        <v>0.16922929005289758</v>
      </c>
      <c r="FA64" s="73">
        <f t="shared" si="685"/>
        <v>0.61335723784991159</v>
      </c>
      <c r="FB64" s="73">
        <f t="shared" si="686"/>
        <v>1.5086431593758303</v>
      </c>
      <c r="FC64" s="73">
        <f t="shared" si="687"/>
        <v>0.56385736735201419</v>
      </c>
      <c r="FD64" s="73">
        <f t="shared" si="688"/>
        <v>0.9192968347917172</v>
      </c>
      <c r="FE64" s="73">
        <f t="shared" ca="1" si="689"/>
        <v>0.12127945131147085</v>
      </c>
      <c r="FF64" s="73">
        <f t="shared" ca="1" si="690"/>
        <v>6.5869531302103273E-3</v>
      </c>
      <c r="FG64" s="73">
        <f t="shared" ca="1" si="691"/>
        <v>5.431219434934334E-2</v>
      </c>
      <c r="FH64" s="73">
        <f t="shared" ca="1" si="692"/>
        <v>0.27357558977093238</v>
      </c>
      <c r="FI64" s="73">
        <f t="shared" ca="1" si="693"/>
        <v>9.3582752130385569E-2</v>
      </c>
      <c r="FJ64" s="73">
        <f t="shared" ca="1" si="694"/>
        <v>0.34207274197505472</v>
      </c>
      <c r="FK64" s="73">
        <f t="shared" ca="1" si="695"/>
        <v>9.3582752130385582E-2</v>
      </c>
      <c r="FL64" s="73">
        <f t="shared" ca="1" si="696"/>
        <v>9.3582752130385555E-2</v>
      </c>
      <c r="FM64" s="73"/>
      <c r="FN64" s="73"/>
      <c r="FO64" s="73"/>
      <c r="FP64" s="73">
        <f t="shared" ca="1" si="697"/>
        <v>1.8288510824661801</v>
      </c>
      <c r="FQ64" s="73">
        <f t="shared" ca="1" si="698"/>
        <v>0.17114891753381989</v>
      </c>
      <c r="FR64" s="73">
        <f t="shared" si="479"/>
        <v>0.33333333333333331</v>
      </c>
      <c r="FS64" s="73">
        <f t="shared" ca="1" si="699"/>
        <v>5.7049639177939961E-2</v>
      </c>
      <c r="FT64" s="73">
        <f t="shared" ca="1" si="700"/>
        <v>0.6096170274887267</v>
      </c>
      <c r="FU64" s="73">
        <f t="shared" si="701"/>
        <v>20.026666666666664</v>
      </c>
      <c r="FV64" s="73">
        <f t="shared" ca="1" si="702"/>
        <v>4.0990165749349856</v>
      </c>
      <c r="FW64" s="73">
        <f t="shared" ca="1" si="703"/>
        <v>24.567566207795686</v>
      </c>
      <c r="FX64" s="73">
        <f t="shared" ca="1" si="704"/>
        <v>48.693249449397335</v>
      </c>
      <c r="FY64" s="73">
        <f t="shared" ca="1" si="705"/>
        <v>41.128219810999958</v>
      </c>
      <c r="FZ64" s="73">
        <f t="shared" ca="1" si="706"/>
        <v>8.4180386835648289</v>
      </c>
      <c r="GA64" s="73">
        <f t="shared" ca="1" si="707"/>
        <v>50.453741505435211</v>
      </c>
      <c r="GB64" s="73">
        <f t="shared" ca="1" si="708"/>
        <v>91.442554123309009</v>
      </c>
      <c r="GC64" s="73">
        <f t="shared" ca="1" si="709"/>
        <v>1592876496.8818331</v>
      </c>
      <c r="GD64" s="2">
        <f t="shared" si="152"/>
        <v>38</v>
      </c>
      <c r="GE64">
        <f t="shared" ca="1" si="710"/>
        <v>1319.3096483884938</v>
      </c>
      <c r="GF64">
        <f t="shared" ca="1" si="711"/>
        <v>1318.7431341884337</v>
      </c>
      <c r="GG64">
        <f t="shared" ca="1" si="712"/>
        <v>1744.1499261387739</v>
      </c>
      <c r="GH64" s="2">
        <f t="shared" ca="1" si="713"/>
        <v>0.17731554102798538</v>
      </c>
      <c r="GI64" s="2">
        <f t="shared" ca="1" si="714"/>
        <v>1.7139512979416862</v>
      </c>
      <c r="GJ64" s="2">
        <f t="shared" ca="1" si="715"/>
        <v>-2.5628746437835916</v>
      </c>
      <c r="GK64" s="2">
        <f t="shared" ca="1" si="716"/>
        <v>1.8563304693450231</v>
      </c>
      <c r="GL64" s="2">
        <f t="shared" ca="1" si="717"/>
        <v>-0.17731554102798538</v>
      </c>
      <c r="GM64">
        <f t="shared" ca="1" si="718"/>
        <v>0.46020445283607675</v>
      </c>
      <c r="GN64">
        <f t="shared" ca="1" si="719"/>
        <v>9.7465844354215653E-2</v>
      </c>
      <c r="GO64">
        <f t="shared" ca="1" si="720"/>
        <v>-0.21245355616428618</v>
      </c>
      <c r="GP64">
        <f t="shared" ca="1" si="721"/>
        <v>-4.7759691487084296E-2</v>
      </c>
      <c r="GQ64">
        <f t="shared" ca="1" si="722"/>
        <v>0.30776691367646175</v>
      </c>
      <c r="GR64">
        <f t="shared" ca="1" si="723"/>
        <v>0.21178813841015279</v>
      </c>
      <c r="GS64">
        <f t="shared" ca="1" si="724"/>
        <v>-6.7228020322986234E-2</v>
      </c>
      <c r="GT64">
        <f t="shared" ca="1" si="725"/>
        <v>8.841493082942729E-4</v>
      </c>
      <c r="GU64">
        <f t="shared" ca="1" si="726"/>
        <v>0.18451760399828504</v>
      </c>
      <c r="GV64">
        <f t="shared" ca="1" si="727"/>
        <v>-0.52016053312290489</v>
      </c>
      <c r="GW64">
        <f t="shared" ca="1" si="728"/>
        <v>0.1245615237114569</v>
      </c>
      <c r="GY64" s="15">
        <f t="shared" si="729"/>
        <v>0.11972403344928363</v>
      </c>
      <c r="GZ64" s="2">
        <f t="shared" si="730"/>
        <v>0.1013859922934332</v>
      </c>
      <c r="HA64" s="2">
        <f t="shared" si="731"/>
        <v>6.1144782199246919E-2</v>
      </c>
      <c r="HB64" s="2">
        <f t="shared" si="732"/>
        <v>0.28225480794196373</v>
      </c>
      <c r="HC64" s="2">
        <f t="shared" si="733"/>
        <v>0.42417004097198896</v>
      </c>
      <c r="HD64" s="2">
        <f t="shared" si="734"/>
        <v>0.35920023128279127</v>
      </c>
      <c r="HE64" s="2">
        <f t="shared" si="735"/>
        <v>0.21662972774521985</v>
      </c>
      <c r="HF64" s="2">
        <f t="shared" si="736"/>
        <v>-1.3173200763928266</v>
      </c>
      <c r="HG64" s="2">
        <f t="shared" si="737"/>
        <v>-1.3158253016899335</v>
      </c>
      <c r="HH64" s="2">
        <f t="shared" si="738"/>
        <v>-1.31657268904138</v>
      </c>
      <c r="HI64" s="2">
        <f t="shared" si="739"/>
        <v>2.4789781773458355</v>
      </c>
      <c r="HJ64" s="2">
        <f t="shared" si="740"/>
        <v>0.17528971020161094</v>
      </c>
      <c r="HK64" s="2">
        <f t="shared" si="741"/>
        <v>0.32744428374655643</v>
      </c>
      <c r="HL64" s="2">
        <f t="shared" si="742"/>
        <v>1.0024999999999999</v>
      </c>
    </row>
    <row r="65" spans="1:220" ht="20.25">
      <c r="A65" s="150" t="s">
        <v>317</v>
      </c>
      <c r="B65" s="77">
        <v>3500</v>
      </c>
      <c r="C65" s="95">
        <f t="shared" ca="1" si="554"/>
        <v>-2.5807893457559148</v>
      </c>
      <c r="D65" s="70">
        <f t="shared" ca="1" si="555"/>
        <v>-2.1442540772957219</v>
      </c>
      <c r="E65" s="71">
        <f t="shared" ca="1" si="556"/>
        <v>-2.5807893457559086</v>
      </c>
      <c r="F65" s="177">
        <v>41.505919359764725</v>
      </c>
      <c r="G65" s="177">
        <v>2.7275844247700545</v>
      </c>
      <c r="H65" s="177">
        <v>9.51804309255993</v>
      </c>
      <c r="I65" s="177">
        <v>11.801970145207969</v>
      </c>
      <c r="J65" s="177">
        <v>0.17159745589190958</v>
      </c>
      <c r="K65" s="177">
        <v>19.5</v>
      </c>
      <c r="L65" s="177">
        <v>11.228153425851044</v>
      </c>
      <c r="M65" s="177">
        <v>2.084422702619289</v>
      </c>
      <c r="N65" s="177">
        <v>0.84414936529695073</v>
      </c>
      <c r="O65" s="328">
        <v>0.01</v>
      </c>
      <c r="P65" s="177">
        <v>0.6</v>
      </c>
      <c r="Q65" s="84"/>
      <c r="R65" s="72">
        <f t="shared" si="557"/>
        <v>99.991839971961895</v>
      </c>
      <c r="S65" s="106">
        <f t="shared" ca="1" si="558"/>
        <v>4.1556456278284246</v>
      </c>
      <c r="T65" s="104">
        <f t="shared" ca="1" si="559"/>
        <v>0.34389668145045565</v>
      </c>
      <c r="U65" s="107">
        <f t="shared" ca="1" si="560"/>
        <v>1706.4638607812465</v>
      </c>
      <c r="V65" s="107">
        <f t="shared" ca="1" si="561"/>
        <v>1630.6962609837256</v>
      </c>
      <c r="W65" s="105">
        <f t="shared" ca="1" si="562"/>
        <v>1637.4530541905071</v>
      </c>
      <c r="X65" s="102">
        <f t="shared" ca="1" si="563"/>
        <v>1651.2455240736215</v>
      </c>
      <c r="Y65" s="102">
        <f t="shared" ca="1" si="564"/>
        <v>1575.4261741336074</v>
      </c>
      <c r="Z65" s="103">
        <f t="shared" ca="1" si="565"/>
        <v>1623.6398577623477</v>
      </c>
      <c r="AA65" s="103">
        <f t="shared" ca="1" si="566"/>
        <v>1618.1006620687037</v>
      </c>
      <c r="AB65" s="103">
        <f t="shared" ca="1" si="567"/>
        <v>38.771342639598423</v>
      </c>
      <c r="AC65" s="4">
        <v>13.3</v>
      </c>
      <c r="AD65" s="273">
        <f t="shared" ca="1" si="568"/>
        <v>12.704821517838477</v>
      </c>
      <c r="AE65" s="3">
        <f t="shared" ca="1" si="569"/>
        <v>120.50086012669028</v>
      </c>
      <c r="AF65" s="3">
        <f t="shared" ca="1" si="570"/>
        <v>214.32309086494661</v>
      </c>
      <c r="AG65" s="2">
        <f t="shared" ca="1" si="571"/>
        <v>562.23927921337508</v>
      </c>
      <c r="AH65" s="2">
        <f t="shared" ca="1" si="572"/>
        <v>40.20113707792467</v>
      </c>
      <c r="AI65" s="87">
        <f t="shared" si="573"/>
        <v>0.48606150815017901</v>
      </c>
      <c r="AJ65" s="87">
        <f t="shared" ca="1" si="574"/>
        <v>4.1556456278284131</v>
      </c>
      <c r="AK65" s="87">
        <f t="shared" ca="1" si="575"/>
        <v>0.28129954086421383</v>
      </c>
      <c r="AL65" s="86">
        <f t="shared" ca="1" si="576"/>
        <v>0.2447380354877553</v>
      </c>
      <c r="AM65" s="87">
        <f t="shared" ca="1" si="577"/>
        <v>0.34389668145045577</v>
      </c>
      <c r="AN65" s="87">
        <f t="shared" ca="1" si="578"/>
        <v>0.34389668145045521</v>
      </c>
      <c r="AO65" s="96">
        <f t="shared" ca="1" si="579"/>
        <v>41.286348819021157</v>
      </c>
      <c r="AP65" s="96">
        <f t="shared" ca="1" si="580"/>
        <v>7.574817727903441</v>
      </c>
      <c r="AQ65" s="96">
        <f t="shared" ca="1" si="581"/>
        <v>51.138833453075407</v>
      </c>
      <c r="AR65" s="73"/>
      <c r="AS65" s="53">
        <f t="shared" ca="1" si="138"/>
        <v>80.542149058662844</v>
      </c>
      <c r="AT65" s="68">
        <f t="shared" ca="1" si="582"/>
        <v>92.329231692098986</v>
      </c>
      <c r="AU65" s="74">
        <f t="shared" ca="1" si="583"/>
        <v>0.34389668145045521</v>
      </c>
      <c r="AV65" s="68">
        <f t="shared" si="584"/>
        <v>2.3086577087652538</v>
      </c>
      <c r="AW65" s="68">
        <f t="shared" ca="1" si="585"/>
        <v>2.3612790526190608</v>
      </c>
      <c r="AX65" s="69">
        <f t="shared" ca="1" si="586"/>
        <v>1707.3595610898196</v>
      </c>
      <c r="AY65" s="69">
        <f t="shared" ca="1" si="587"/>
        <v>1706.4638607812465</v>
      </c>
      <c r="AZ65" s="69">
        <f t="shared" ca="1" si="588"/>
        <v>1630.6962609837256</v>
      </c>
      <c r="BA65" s="75"/>
      <c r="BB65" s="74">
        <f t="shared" ca="1" si="589"/>
        <v>7.1501829495388816E-2</v>
      </c>
      <c r="BC65" s="74">
        <f t="shared" ca="1" si="590"/>
        <v>2.5503435642185549E-2</v>
      </c>
      <c r="BD65" s="68">
        <f t="shared" si="591"/>
        <v>0</v>
      </c>
      <c r="BE65" s="68">
        <f t="shared" ca="1" si="592"/>
        <v>0.11244156894559054</v>
      </c>
      <c r="BF65" s="68">
        <f t="shared" ca="1" si="593"/>
        <v>9.719148466265258E-2</v>
      </c>
      <c r="BH65" s="68">
        <f t="shared" ca="1" si="594"/>
        <v>0</v>
      </c>
      <c r="BI65" s="68">
        <f t="shared" ca="1" si="595"/>
        <v>7.6374264373305648E-2</v>
      </c>
      <c r="BK65" s="53">
        <f t="shared" ca="1" si="596"/>
        <v>0.59017840054781145</v>
      </c>
      <c r="BL65" s="53">
        <f t="shared" si="597"/>
        <v>2.3723296690453047E-2</v>
      </c>
      <c r="BM65" s="53">
        <f t="shared" si="598"/>
        <v>2.3570034255982048E-2</v>
      </c>
      <c r="BN65" s="53">
        <f t="shared" si="599"/>
        <v>0.22027726982438217</v>
      </c>
      <c r="BO65" s="53" t="e">
        <f t="shared" si="600"/>
        <v>#NUM!</v>
      </c>
      <c r="BP65" s="53">
        <f t="shared" si="601"/>
        <v>1.3320449659572904</v>
      </c>
      <c r="BQ65" s="54">
        <f t="shared" si="602"/>
        <v>1434.96</v>
      </c>
      <c r="BR65" s="262">
        <f t="shared" si="603"/>
        <v>4.5284715569018452</v>
      </c>
      <c r="BS65" s="54">
        <f t="shared" si="604"/>
        <v>1639.7502512885421</v>
      </c>
      <c r="BT65" s="67"/>
      <c r="BU65" s="73">
        <f t="shared" si="605"/>
        <v>0.69084419706665656</v>
      </c>
      <c r="BV65" s="73">
        <f t="shared" si="606"/>
        <v>3.4137477156070767E-2</v>
      </c>
      <c r="BW65" s="73">
        <f t="shared" si="607"/>
        <v>0.18670151221184642</v>
      </c>
      <c r="BX65" s="73">
        <f t="shared" si="608"/>
        <v>0.1642584571358103</v>
      </c>
      <c r="BY65" s="73">
        <f t="shared" si="609"/>
        <v>2.4189097250057736E-3</v>
      </c>
      <c r="BZ65" s="73">
        <f t="shared" si="610"/>
        <v>0.4838709677419355</v>
      </c>
      <c r="CA65" s="73">
        <f t="shared" si="611"/>
        <v>0.20021671586752932</v>
      </c>
      <c r="CB65" s="73">
        <f t="shared" si="612"/>
        <v>6.7261139161642114E-2</v>
      </c>
      <c r="CC65" s="73">
        <f t="shared" si="613"/>
        <v>1.7922491832207021E-2</v>
      </c>
      <c r="CD65" s="73">
        <f t="shared" si="614"/>
        <v>1.3158760444766102E-4</v>
      </c>
      <c r="CE65" s="73">
        <f t="shared" si="615"/>
        <v>8.4542764548400737E-3</v>
      </c>
      <c r="CF65" s="73">
        <f t="shared" si="616"/>
        <v>1.8562177319579911</v>
      </c>
      <c r="CG65" s="73">
        <f t="shared" si="617"/>
        <v>0.3721784277633931</v>
      </c>
      <c r="CH65" s="73">
        <f t="shared" si="618"/>
        <v>1.8390879781145925E-2</v>
      </c>
      <c r="CI65" s="73">
        <f t="shared" si="619"/>
        <v>0.10058168769614563</v>
      </c>
      <c r="CJ65" s="73">
        <f t="shared" si="620"/>
        <v>8.8490942796104977E-2</v>
      </c>
      <c r="CK65" s="73">
        <f t="shared" si="621"/>
        <v>1.303139003232255E-3</v>
      </c>
      <c r="CL65" s="73">
        <f t="shared" si="622"/>
        <v>0.2606757598590197</v>
      </c>
      <c r="CM65" s="73">
        <f t="shared" si="623"/>
        <v>0.10786273206017434</v>
      </c>
      <c r="CN65" s="73">
        <f t="shared" si="624"/>
        <v>3.6235587023884935E-2</v>
      </c>
      <c r="CO65" s="73">
        <f t="shared" si="625"/>
        <v>9.6553822989837879E-3</v>
      </c>
      <c r="CP65" s="73">
        <f t="shared" si="626"/>
        <v>7.0890177473339119E-5</v>
      </c>
      <c r="CQ65" s="73">
        <f t="shared" si="627"/>
        <v>4.5545715404422217E-3</v>
      </c>
      <c r="CR65" s="73"/>
      <c r="CS65" s="73">
        <f t="shared" ca="1" si="628"/>
        <v>0.68718956090248262</v>
      </c>
      <c r="CT65" s="73">
        <f t="shared" ca="1" si="629"/>
        <v>0.10542543810582382</v>
      </c>
      <c r="CU65" s="73">
        <f t="shared" ca="1" si="630"/>
        <v>1.2689536836991417</v>
      </c>
      <c r="CV65" s="73">
        <f t="shared" ca="1" si="631"/>
        <v>2.0615686827074482</v>
      </c>
      <c r="CW65" s="73">
        <f t="shared" ca="1" si="632"/>
        <v>0.33333333333333326</v>
      </c>
      <c r="CX65" s="73">
        <f t="shared" ca="1" si="633"/>
        <v>5.1138455386006886E-2</v>
      </c>
      <c r="CY65" s="73">
        <f t="shared" ca="1" si="634"/>
        <v>0.61552821128065982</v>
      </c>
      <c r="CZ65" s="73">
        <f t="shared" si="635"/>
        <v>0.45833257371853126</v>
      </c>
      <c r="DA65" s="73">
        <f t="shared" si="636"/>
        <v>0.3721784277633931</v>
      </c>
      <c r="DB65" s="73">
        <f t="shared" si="637"/>
        <v>-0.50095931612648348</v>
      </c>
      <c r="DC65" s="73"/>
      <c r="DD65" s="73">
        <f t="shared" ca="1" si="638"/>
        <v>1707.3595610898196</v>
      </c>
      <c r="DE65" s="73">
        <f t="shared" ca="1" si="639"/>
        <v>15657.088007598239</v>
      </c>
      <c r="DF65" s="73">
        <f t="shared" si="640"/>
        <v>7.9055856710848573</v>
      </c>
      <c r="DG65" s="73">
        <f t="shared" si="641"/>
        <v>1720.6702157103337</v>
      </c>
      <c r="DH65" s="73">
        <f t="shared" si="642"/>
        <v>1447.5202157103336</v>
      </c>
      <c r="DI65" s="73">
        <f t="shared" si="449"/>
        <v>13602.905801982104</v>
      </c>
      <c r="DJ65" s="73">
        <f t="shared" si="643"/>
        <v>7.9055856710848573</v>
      </c>
      <c r="DK65" s="73">
        <f t="shared" si="644"/>
        <v>1720.6702157103337</v>
      </c>
      <c r="DL65" s="73">
        <f t="shared" ca="1" si="645"/>
        <v>4.1556456278284246</v>
      </c>
      <c r="DM65" s="73">
        <f t="shared" si="646"/>
        <v>-0.50095931612648348</v>
      </c>
      <c r="DN65" s="73">
        <f t="shared" si="647"/>
        <v>0.45833257371853126</v>
      </c>
      <c r="DO65" s="73">
        <f t="shared" si="648"/>
        <v>0.3721784277633931</v>
      </c>
      <c r="DP65" s="73">
        <f t="shared" si="649"/>
        <v>2.3086577087652538</v>
      </c>
      <c r="DQ65" s="73">
        <f t="shared" ca="1" si="650"/>
        <v>15657.135633835585</v>
      </c>
      <c r="DR65" s="73">
        <f t="shared" si="651"/>
        <v>7.9053624439127219</v>
      </c>
      <c r="DS65" s="73">
        <f t="shared" ca="1" si="652"/>
        <v>1707.4215101515524</v>
      </c>
      <c r="DT65" s="73">
        <f t="shared" si="653"/>
        <v>1447.5869714559512</v>
      </c>
      <c r="DU65" s="73">
        <f t="shared" ca="1" si="654"/>
        <v>1637.4530541905071</v>
      </c>
      <c r="DV65" s="76">
        <f t="shared" ca="1" si="655"/>
        <v>2.3612790526190608</v>
      </c>
      <c r="DW65" s="73">
        <f t="shared" ca="1" si="656"/>
        <v>2.8674069823988755</v>
      </c>
      <c r="DX65" s="73">
        <f t="shared" ca="1" si="657"/>
        <v>4658.934517637068</v>
      </c>
      <c r="DY65" s="73">
        <f t="shared" ca="1" si="658"/>
        <v>1624.7901139375056</v>
      </c>
      <c r="DZ65" s="73">
        <f t="shared" ca="1" si="659"/>
        <v>3.8705413897937677</v>
      </c>
      <c r="EA65" s="73"/>
      <c r="EB65" s="73">
        <f t="shared" si="660"/>
        <v>0.69084419706665656</v>
      </c>
      <c r="EC65" s="73">
        <f t="shared" si="661"/>
        <v>3.4137477156070767E-2</v>
      </c>
      <c r="ED65" s="73">
        <f t="shared" si="662"/>
        <v>9.3350756105923208E-2</v>
      </c>
      <c r="EE65" s="73">
        <f t="shared" si="663"/>
        <v>0.1642584571358103</v>
      </c>
      <c r="EF65" s="73">
        <f t="shared" si="664"/>
        <v>2.4189097250057736E-3</v>
      </c>
      <c r="EG65" s="73">
        <f t="shared" si="665"/>
        <v>0.4838709677419355</v>
      </c>
      <c r="EH65" s="73">
        <f t="shared" si="666"/>
        <v>0.20021671586752932</v>
      </c>
      <c r="EI65" s="73">
        <f t="shared" si="667"/>
        <v>3.3630569580821057E-2</v>
      </c>
      <c r="EJ65" s="73">
        <f t="shared" si="668"/>
        <v>8.9612459161035104E-3</v>
      </c>
      <c r="EK65" s="73">
        <f t="shared" si="669"/>
        <v>6.5793802223830508E-5</v>
      </c>
      <c r="EL65" s="73">
        <f t="shared" si="670"/>
        <v>4.2271382274200369E-3</v>
      </c>
      <c r="EM65" s="73">
        <f t="shared" si="671"/>
        <v>1.7159822283255</v>
      </c>
      <c r="EN65" s="73">
        <f t="shared" si="672"/>
        <v>0.40259402787685061</v>
      </c>
      <c r="EO65" s="73">
        <f t="shared" si="673"/>
        <v>1.9893840735974874E-2</v>
      </c>
      <c r="EP65" s="73">
        <f t="shared" si="674"/>
        <v>5.4400770919997989E-2</v>
      </c>
      <c r="EQ65" s="73">
        <f t="shared" si="675"/>
        <v>9.5722702965343631E-2</v>
      </c>
      <c r="ER65" s="73">
        <f t="shared" si="676"/>
        <v>1.4096356506944764E-3</v>
      </c>
      <c r="ES65" s="73">
        <f t="shared" si="677"/>
        <v>0.28197900873024156</v>
      </c>
      <c r="ET65" s="73">
        <f t="shared" si="678"/>
        <v>0.11667761621453737</v>
      </c>
      <c r="EU65" s="73">
        <f t="shared" si="679"/>
        <v>1.9598436991762228E-2</v>
      </c>
      <c r="EV65" s="73">
        <f t="shared" si="680"/>
        <v>5.2222253635156391E-3</v>
      </c>
      <c r="EW65" s="73">
        <f t="shared" si="681"/>
        <v>3.8341773672116529E-5</v>
      </c>
      <c r="EX65" s="73">
        <f t="shared" si="682"/>
        <v>2.4633927774094654E-3</v>
      </c>
      <c r="EY65" s="73">
        <f t="shared" si="683"/>
        <v>1</v>
      </c>
      <c r="EZ65" s="73">
        <f t="shared" si="684"/>
        <v>0.10058168769614563</v>
      </c>
      <c r="FA65" s="73">
        <f t="shared" si="685"/>
        <v>0.49115099524068462</v>
      </c>
      <c r="FB65" s="73">
        <f t="shared" si="686"/>
        <v>1.4247819691305779</v>
      </c>
      <c r="FC65" s="73">
        <f t="shared" si="687"/>
        <v>0.88495995729841725</v>
      </c>
      <c r="FD65" s="73">
        <f t="shared" si="688"/>
        <v>1.8018083356723114</v>
      </c>
      <c r="FE65" s="73">
        <f t="shared" ca="1" si="689"/>
        <v>0.20258119210011594</v>
      </c>
      <c r="FF65" s="73">
        <f t="shared" ca="1" si="690"/>
        <v>1.3800269275498454E-2</v>
      </c>
      <c r="FG65" s="73">
        <f t="shared" ca="1" si="691"/>
        <v>6.8122164414346723E-2</v>
      </c>
      <c r="FH65" s="73">
        <f t="shared" ca="1" si="692"/>
        <v>0.24158594187951263</v>
      </c>
      <c r="FI65" s="73">
        <f t="shared" ca="1" si="693"/>
        <v>8.3080603697446936E-2</v>
      </c>
      <c r="FJ65" s="73">
        <f t="shared" ca="1" si="694"/>
        <v>0.34389668145045521</v>
      </c>
      <c r="FK65" s="73">
        <f t="shared" ca="1" si="695"/>
        <v>8.3080603697446936E-2</v>
      </c>
      <c r="FL65" s="73">
        <f t="shared" ca="1" si="696"/>
        <v>8.3080603697447075E-2</v>
      </c>
      <c r="FM65" s="73"/>
      <c r="FN65" s="73"/>
      <c r="FO65" s="73"/>
      <c r="FP65" s="73">
        <f t="shared" ca="1" si="697"/>
        <v>1.8465846338419794</v>
      </c>
      <c r="FQ65" s="73">
        <f t="shared" ca="1" si="698"/>
        <v>0.15341536615802065</v>
      </c>
      <c r="FR65" s="73">
        <f t="shared" si="479"/>
        <v>0.33333333333333331</v>
      </c>
      <c r="FS65" s="73">
        <f t="shared" ca="1" si="699"/>
        <v>5.1138455386006886E-2</v>
      </c>
      <c r="FT65" s="73">
        <f t="shared" ca="1" si="700"/>
        <v>0.61552821128065982</v>
      </c>
      <c r="FU65" s="73">
        <f t="shared" si="701"/>
        <v>20.026666666666664</v>
      </c>
      <c r="FV65" s="73">
        <f t="shared" ca="1" si="702"/>
        <v>3.6742980194845942</v>
      </c>
      <c r="FW65" s="73">
        <f t="shared" ca="1" si="703"/>
        <v>24.805786914610589</v>
      </c>
      <c r="FX65" s="73">
        <f t="shared" ca="1" si="704"/>
        <v>48.506751600761845</v>
      </c>
      <c r="FY65" s="73">
        <f t="shared" ca="1" si="705"/>
        <v>41.286348819021157</v>
      </c>
      <c r="FZ65" s="73">
        <f t="shared" ca="1" si="706"/>
        <v>7.574817727903441</v>
      </c>
      <c r="GA65" s="73">
        <f t="shared" ca="1" si="707"/>
        <v>51.138833453075407</v>
      </c>
      <c r="GB65" s="73">
        <f t="shared" ca="1" si="708"/>
        <v>92.329231692098972</v>
      </c>
      <c r="GC65" s="73">
        <f t="shared" ca="1" si="709"/>
        <v>4155645627.8284245</v>
      </c>
      <c r="GD65" s="2">
        <f t="shared" si="152"/>
        <v>38</v>
      </c>
      <c r="GE65">
        <f t="shared" ca="1" si="710"/>
        <v>1584.1691033839193</v>
      </c>
      <c r="GF65">
        <f t="shared" ca="1" si="711"/>
        <v>1584.1423343972049</v>
      </c>
      <c r="GG65">
        <f t="shared" ca="1" si="712"/>
        <v>1881.3940336903404</v>
      </c>
      <c r="GH65" s="2">
        <f t="shared" ca="1" si="713"/>
        <v>0.41150824932177732</v>
      </c>
      <c r="GI65" s="2">
        <f t="shared" ca="1" si="714"/>
        <v>0.93999502039581562</v>
      </c>
      <c r="GJ65" s="2">
        <f t="shared" ca="1" si="715"/>
        <v>-1.0969707008821414</v>
      </c>
      <c r="GK65" s="2">
        <f t="shared" ca="1" si="716"/>
        <v>1.1618200348584966</v>
      </c>
      <c r="GL65" s="2">
        <f t="shared" ca="1" si="717"/>
        <v>-0.41150824932177732</v>
      </c>
      <c r="GM65">
        <f t="shared" ca="1" si="718"/>
        <v>0.31472765946800202</v>
      </c>
      <c r="GN65">
        <f t="shared" ca="1" si="719"/>
        <v>3.117487610198845E-2</v>
      </c>
      <c r="GO65">
        <f t="shared" ca="1" si="720"/>
        <v>-0.12731852774288915</v>
      </c>
      <c r="GP65">
        <f t="shared" ca="1" si="721"/>
        <v>-0.17709638195897387</v>
      </c>
      <c r="GQ65">
        <f t="shared" ca="1" si="722"/>
        <v>0.2696903686149929</v>
      </c>
      <c r="GR65">
        <f t="shared" ca="1" si="723"/>
        <v>9.9053499634206649E-2</v>
      </c>
      <c r="GS65">
        <f t="shared" ca="1" si="724"/>
        <v>8.0952730318073166E-2</v>
      </c>
      <c r="GT65">
        <f t="shared" ca="1" si="725"/>
        <v>4.9684236560198942E-3</v>
      </c>
      <c r="GU65">
        <f t="shared" ca="1" si="726"/>
        <v>0.57316210150220803</v>
      </c>
      <c r="GV65">
        <f t="shared" ca="1" si="727"/>
        <v>-0.29771136042240393</v>
      </c>
      <c r="GW65">
        <f t="shared" ca="1" si="728"/>
        <v>0.59017840054780613</v>
      </c>
      <c r="GY65" s="15">
        <f t="shared" si="729"/>
        <v>0.19414464061133432</v>
      </c>
      <c r="GZ65" s="2">
        <f t="shared" si="730"/>
        <v>7.433295342964498E-2</v>
      </c>
      <c r="HA65" s="2">
        <f t="shared" si="731"/>
        <v>-4.7992937440217029E-2</v>
      </c>
      <c r="HB65" s="2">
        <f t="shared" si="732"/>
        <v>0.22048465660076227</v>
      </c>
      <c r="HC65" s="2">
        <f t="shared" si="733"/>
        <v>0.88053583230908195</v>
      </c>
      <c r="HD65" s="2">
        <f t="shared" si="734"/>
        <v>0.33713435925948232</v>
      </c>
      <c r="HE65" s="2">
        <f t="shared" si="735"/>
        <v>-0.21767019156856426</v>
      </c>
      <c r="HF65" s="2">
        <f t="shared" si="736"/>
        <v>-2.6721162896292587</v>
      </c>
      <c r="HG65" s="2">
        <f t="shared" si="737"/>
        <v>0.25381739531916908</v>
      </c>
      <c r="HH65" s="2">
        <f t="shared" si="738"/>
        <v>-1.2091494471550448</v>
      </c>
      <c r="HI65" s="2" t="e">
        <f t="shared" si="739"/>
        <v>#NUM!</v>
      </c>
      <c r="HJ65" s="2" t="e">
        <f t="shared" si="740"/>
        <v>#NUM!</v>
      </c>
      <c r="HK65" s="2">
        <f t="shared" si="741"/>
        <v>0.34353984220907291</v>
      </c>
      <c r="HL65" s="2">
        <f t="shared" si="742"/>
        <v>0.6795475586977664</v>
      </c>
    </row>
    <row r="66" spans="1:220" ht="20.25">
      <c r="A66" s="150" t="s">
        <v>318</v>
      </c>
      <c r="B66" s="77">
        <v>3500</v>
      </c>
      <c r="C66" s="95">
        <f t="shared" ca="1" si="554"/>
        <v>-3.4384216896461623</v>
      </c>
      <c r="D66" s="70">
        <f t="shared" ca="1" si="555"/>
        <v>-3.2581710826850023</v>
      </c>
      <c r="E66" s="71">
        <f t="shared" ca="1" si="556"/>
        <v>-3.4384216896461623</v>
      </c>
      <c r="F66" s="177">
        <v>45.11088330278583</v>
      </c>
      <c r="G66" s="177">
        <v>2.0520231927438566</v>
      </c>
      <c r="H66" s="177">
        <v>9.4636127137960173</v>
      </c>
      <c r="I66" s="177">
        <v>11.494556325726426</v>
      </c>
      <c r="J66" s="177">
        <v>0.13482358281722598</v>
      </c>
      <c r="K66" s="177">
        <v>18.88</v>
      </c>
      <c r="L66" s="177">
        <v>10.208067394977048</v>
      </c>
      <c r="M66" s="177">
        <v>1.7072924387182145</v>
      </c>
      <c r="N66" s="177">
        <v>0.68393981610673105</v>
      </c>
      <c r="O66" s="328">
        <v>0.01</v>
      </c>
      <c r="P66" s="177">
        <v>0.3</v>
      </c>
      <c r="Q66" s="84"/>
      <c r="R66" s="72">
        <f t="shared" si="557"/>
        <v>100.04519876767134</v>
      </c>
      <c r="S66" s="106">
        <f t="shared" ca="1" si="558"/>
        <v>3.0610236981689098</v>
      </c>
      <c r="T66" s="104">
        <f t="shared" ca="1" si="559"/>
        <v>0.34518976685648084</v>
      </c>
      <c r="U66" s="107">
        <f t="shared" ca="1" si="560"/>
        <v>1607.0854975054669</v>
      </c>
      <c r="V66" s="107">
        <f t="shared" ca="1" si="561"/>
        <v>1564.2155518736054</v>
      </c>
      <c r="W66" s="105">
        <f t="shared" ca="1" si="562"/>
        <v>1569.6711584291586</v>
      </c>
      <c r="X66" s="102">
        <f t="shared" ca="1" si="563"/>
        <v>1634.507831858886</v>
      </c>
      <c r="Y66" s="102">
        <f t="shared" ca="1" si="564"/>
        <v>1565.1896257939686</v>
      </c>
      <c r="Z66" s="103">
        <f t="shared" ca="1" si="565"/>
        <v>1609.4634041121858</v>
      </c>
      <c r="AA66" s="103">
        <f t="shared" ca="1" si="566"/>
        <v>1596.2287515712731</v>
      </c>
      <c r="AB66" s="103">
        <f t="shared" ca="1" si="567"/>
        <v>37.512977014762953</v>
      </c>
      <c r="AC66" s="4">
        <v>13.3</v>
      </c>
      <c r="AD66" s="273">
        <f t="shared" ca="1" si="568"/>
        <v>12.213908412870179</v>
      </c>
      <c r="AE66" s="3">
        <f t="shared" ca="1" si="569"/>
        <v>116.41982863298391</v>
      </c>
      <c r="AF66" s="3">
        <f t="shared" ca="1" si="570"/>
        <v>213.84859295049864</v>
      </c>
      <c r="AG66" s="2">
        <f t="shared" ca="1" si="571"/>
        <v>544.40306118793399</v>
      </c>
      <c r="AH66" s="2">
        <f t="shared" ca="1" si="572"/>
        <v>69.400262796727816</v>
      </c>
      <c r="AI66" s="87">
        <f t="shared" si="573"/>
        <v>0.42160805140474616</v>
      </c>
      <c r="AJ66" s="87">
        <f t="shared" ca="1" si="574"/>
        <v>3.0610236981689098</v>
      </c>
      <c r="AK66" s="87">
        <f t="shared" ca="1" si="575"/>
        <v>0.27953197955241615</v>
      </c>
      <c r="AL66" s="86">
        <f t="shared" ca="1" si="576"/>
        <v>0.26176313062852519</v>
      </c>
      <c r="AM66" s="87">
        <f t="shared" ca="1" si="577"/>
        <v>0.34518976685648084</v>
      </c>
      <c r="AN66" s="87">
        <f t="shared" ca="1" si="578"/>
        <v>0.34518976685648084</v>
      </c>
      <c r="AO66" s="96">
        <f t="shared" ca="1" si="579"/>
        <v>41.190875500694482</v>
      </c>
      <c r="AP66" s="96">
        <f t="shared" ca="1" si="580"/>
        <v>8.0839280026532112</v>
      </c>
      <c r="AQ66" s="96">
        <f t="shared" ca="1" si="581"/>
        <v>50.725196496652302</v>
      </c>
      <c r="AR66" s="73"/>
      <c r="AS66" s="53">
        <f t="shared" ca="1" si="138"/>
        <v>79.431153792461728</v>
      </c>
      <c r="AT66" s="68">
        <f t="shared" ca="1" si="582"/>
        <v>91.794698003124694</v>
      </c>
      <c r="AU66" s="74">
        <f t="shared" ca="1" si="583"/>
        <v>0.34518976685648084</v>
      </c>
      <c r="AV66" s="68">
        <f t="shared" si="584"/>
        <v>2.3739621414687995</v>
      </c>
      <c r="AW66" s="68">
        <f t="shared" ca="1" si="585"/>
        <v>2.4146572527190333</v>
      </c>
      <c r="AX66" s="69">
        <f t="shared" ca="1" si="586"/>
        <v>1611.7231159025032</v>
      </c>
      <c r="AY66" s="69">
        <f t="shared" ca="1" si="587"/>
        <v>1607.0854975054669</v>
      </c>
      <c r="AZ66" s="69">
        <f t="shared" ca="1" si="588"/>
        <v>1564.2155518736054</v>
      </c>
      <c r="BA66" s="75"/>
      <c r="BB66" s="74">
        <f t="shared" ca="1" si="589"/>
        <v>0.12747956017236661</v>
      </c>
      <c r="BC66" s="74">
        <f t="shared" ca="1" si="590"/>
        <v>1.1147488027575243E-2</v>
      </c>
      <c r="BD66" s="68">
        <f t="shared" si="591"/>
        <v>6.1820686795209412E-2</v>
      </c>
      <c r="BE66" s="68">
        <f t="shared" ca="1" si="592"/>
        <v>0.13385584603328016</v>
      </c>
      <c r="BF66" s="68">
        <f t="shared" ca="1" si="593"/>
        <v>0.16462093307270811</v>
      </c>
      <c r="BH66" s="68">
        <f t="shared" ca="1" si="594"/>
        <v>7.5986078507674651E-2</v>
      </c>
      <c r="BI66" s="68">
        <f t="shared" ca="1" si="595"/>
        <v>0.14962077478826877</v>
      </c>
      <c r="BK66" s="53">
        <f t="shared" ca="1" si="596"/>
        <v>0.46850638645384129</v>
      </c>
      <c r="BL66" s="53">
        <f t="shared" si="597"/>
        <v>1.8033707127801009E-2</v>
      </c>
      <c r="BM66" s="53">
        <f t="shared" si="598"/>
        <v>1.7232352610380978E-2</v>
      </c>
      <c r="BN66" s="53">
        <f t="shared" si="599"/>
        <v>0.29187806105371461</v>
      </c>
      <c r="BO66" s="53">
        <f t="shared" si="600"/>
        <v>0.12019901122254051</v>
      </c>
      <c r="BP66" s="53">
        <f t="shared" si="601"/>
        <v>8.1927756719606171E-2</v>
      </c>
      <c r="BQ66" s="54">
        <f t="shared" si="602"/>
        <v>1423.6392960000001</v>
      </c>
      <c r="BR66" s="262">
        <f t="shared" si="603"/>
        <v>4.196229384356406</v>
      </c>
      <c r="BS66" s="54">
        <f t="shared" si="604"/>
        <v>1616.4688610219846</v>
      </c>
      <c r="BT66" s="67"/>
      <c r="BU66" s="73">
        <f t="shared" si="605"/>
        <v>0.75084692581201451</v>
      </c>
      <c r="BV66" s="73">
        <f t="shared" si="606"/>
        <v>2.5682392900423734E-2</v>
      </c>
      <c r="BW66" s="73">
        <f t="shared" si="607"/>
        <v>0.18563383118470023</v>
      </c>
      <c r="BX66" s="73">
        <f t="shared" si="608"/>
        <v>0.15997990710823143</v>
      </c>
      <c r="BY66" s="73">
        <f t="shared" si="609"/>
        <v>1.9005297831579642E-3</v>
      </c>
      <c r="BZ66" s="73">
        <f t="shared" si="610"/>
        <v>0.46848635235732011</v>
      </c>
      <c r="CA66" s="73">
        <f t="shared" si="611"/>
        <v>0.18202687936834966</v>
      </c>
      <c r="CB66" s="73">
        <f t="shared" si="612"/>
        <v>5.5091721159025962E-2</v>
      </c>
      <c r="CC66" s="73">
        <f t="shared" si="613"/>
        <v>1.4521015203964566E-2</v>
      </c>
      <c r="CD66" s="73">
        <f t="shared" si="614"/>
        <v>1.3158760444766102E-4</v>
      </c>
      <c r="CE66" s="73">
        <f t="shared" si="615"/>
        <v>4.2271382274200369E-3</v>
      </c>
      <c r="CF66" s="73">
        <f t="shared" si="616"/>
        <v>1.8485282807090559</v>
      </c>
      <c r="CG66" s="73">
        <f t="shared" si="617"/>
        <v>0.40618633409492966</v>
      </c>
      <c r="CH66" s="73">
        <f t="shared" si="618"/>
        <v>1.3893427094646622E-2</v>
      </c>
      <c r="CI66" s="73">
        <f t="shared" si="619"/>
        <v>0.10042249995412299</v>
      </c>
      <c r="CJ66" s="73">
        <f t="shared" si="620"/>
        <v>8.654447366467477E-2</v>
      </c>
      <c r="CK66" s="73">
        <f t="shared" si="621"/>
        <v>1.0281312993647906E-3</v>
      </c>
      <c r="CL66" s="73">
        <f t="shared" si="622"/>
        <v>0.2534374817233625</v>
      </c>
      <c r="CM66" s="73">
        <f t="shared" si="623"/>
        <v>9.8471243998781585E-2</v>
      </c>
      <c r="CN66" s="73">
        <f t="shared" si="624"/>
        <v>2.9803017748743315E-2</v>
      </c>
      <c r="CO66" s="73">
        <f t="shared" si="625"/>
        <v>7.855446603389056E-3</v>
      </c>
      <c r="CP66" s="73">
        <f t="shared" si="626"/>
        <v>7.1185064259437144E-5</v>
      </c>
      <c r="CQ66" s="73">
        <f t="shared" si="627"/>
        <v>2.2867587537252049E-3</v>
      </c>
      <c r="CR66" s="73"/>
      <c r="CS66" s="73">
        <f t="shared" ca="1" si="628"/>
        <v>0.68560045773459521</v>
      </c>
      <c r="CT66" s="73">
        <f t="shared" ca="1" si="629"/>
        <v>0.11251117609816579</v>
      </c>
      <c r="CU66" s="73">
        <f t="shared" ca="1" si="630"/>
        <v>1.258689739371025</v>
      </c>
      <c r="CV66" s="73">
        <f t="shared" ca="1" si="631"/>
        <v>2.0568013732037862</v>
      </c>
      <c r="CW66" s="73">
        <f t="shared" ca="1" si="632"/>
        <v>0.33333333333333326</v>
      </c>
      <c r="CX66" s="73">
        <f t="shared" ca="1" si="633"/>
        <v>5.4702013312501942E-2</v>
      </c>
      <c r="CY66" s="73">
        <f t="shared" ca="1" si="634"/>
        <v>0.61196465335416472</v>
      </c>
      <c r="CZ66" s="73">
        <f t="shared" si="635"/>
        <v>0.43948133068618367</v>
      </c>
      <c r="DA66" s="73">
        <f t="shared" si="636"/>
        <v>0.40618633409492966</v>
      </c>
      <c r="DB66" s="73">
        <f t="shared" si="637"/>
        <v>-0.46834115472819321</v>
      </c>
      <c r="DC66" s="73"/>
      <c r="DD66" s="73">
        <f t="shared" ca="1" si="638"/>
        <v>1611.7231159025032</v>
      </c>
      <c r="DE66" s="73">
        <f t="shared" ca="1" si="639"/>
        <v>15115.99109971546</v>
      </c>
      <c r="DF66" s="73">
        <f t="shared" si="640"/>
        <v>8.0196332433112971</v>
      </c>
      <c r="DG66" s="73">
        <f t="shared" si="641"/>
        <v>1696.2004856428423</v>
      </c>
      <c r="DH66" s="73">
        <f t="shared" si="642"/>
        <v>1423.0504856428424</v>
      </c>
      <c r="DI66" s="73">
        <f t="shared" si="449"/>
        <v>13602.905801982104</v>
      </c>
      <c r="DJ66" s="73">
        <f t="shared" si="643"/>
        <v>8.0196332433112971</v>
      </c>
      <c r="DK66" s="73">
        <f t="shared" si="644"/>
        <v>1696.2004856428423</v>
      </c>
      <c r="DL66" s="73">
        <f t="shared" ca="1" si="645"/>
        <v>3.0610236981689098</v>
      </c>
      <c r="DM66" s="73">
        <f t="shared" si="646"/>
        <v>-0.46834115472819321</v>
      </c>
      <c r="DN66" s="73">
        <f t="shared" si="647"/>
        <v>0.43948133068618367</v>
      </c>
      <c r="DO66" s="73">
        <f t="shared" si="648"/>
        <v>0.40618633409492966</v>
      </c>
      <c r="DP66" s="73">
        <f t="shared" si="649"/>
        <v>2.3739621414687995</v>
      </c>
      <c r="DQ66" s="73">
        <f t="shared" ca="1" si="650"/>
        <v>15116.064014004887</v>
      </c>
      <c r="DR66" s="73">
        <f t="shared" si="651"/>
        <v>8.0194100161391617</v>
      </c>
      <c r="DS66" s="73">
        <f t="shared" ca="1" si="652"/>
        <v>1611.7846751922675</v>
      </c>
      <c r="DT66" s="73">
        <f t="shared" si="653"/>
        <v>1423.1156108895407</v>
      </c>
      <c r="DU66" s="73">
        <f t="shared" ca="1" si="654"/>
        <v>1569.6711584291586</v>
      </c>
      <c r="DV66" s="76">
        <f t="shared" ca="1" si="655"/>
        <v>2.4146572527190333</v>
      </c>
      <c r="DW66" s="73">
        <f t="shared" ca="1" si="656"/>
        <v>2.9172458228580833</v>
      </c>
      <c r="DX66" s="73">
        <f t="shared" ca="1" si="657"/>
        <v>4598.6317955321256</v>
      </c>
      <c r="DY66" s="73">
        <f t="shared" ca="1" si="658"/>
        <v>1576.3607439248144</v>
      </c>
      <c r="DZ66" s="73">
        <f t="shared" ca="1" si="659"/>
        <v>3.7887228732125124</v>
      </c>
      <c r="EA66" s="73"/>
      <c r="EB66" s="73">
        <f t="shared" si="660"/>
        <v>0.75084692581201451</v>
      </c>
      <c r="EC66" s="73">
        <f t="shared" si="661"/>
        <v>2.5682392900423734E-2</v>
      </c>
      <c r="ED66" s="73">
        <f t="shared" si="662"/>
        <v>9.2816915592350113E-2</v>
      </c>
      <c r="EE66" s="73">
        <f t="shared" si="663"/>
        <v>0.15997990710823143</v>
      </c>
      <c r="EF66" s="73">
        <f t="shared" si="664"/>
        <v>1.9005297831579642E-3</v>
      </c>
      <c r="EG66" s="73">
        <f t="shared" si="665"/>
        <v>0.46848635235732011</v>
      </c>
      <c r="EH66" s="73">
        <f t="shared" si="666"/>
        <v>0.18202687936834966</v>
      </c>
      <c r="EI66" s="73">
        <f t="shared" si="667"/>
        <v>2.7545860579512981E-2</v>
      </c>
      <c r="EJ66" s="73">
        <f t="shared" si="668"/>
        <v>7.2605076019822828E-3</v>
      </c>
      <c r="EK66" s="73">
        <f t="shared" si="669"/>
        <v>6.5793802223830508E-5</v>
      </c>
      <c r="EL66" s="73">
        <f t="shared" si="670"/>
        <v>2.1135691137100184E-3</v>
      </c>
      <c r="EM66" s="73">
        <f t="shared" si="671"/>
        <v>1.7187256340192769</v>
      </c>
      <c r="EN66" s="73">
        <f t="shared" si="672"/>
        <v>0.4368625864130174</v>
      </c>
      <c r="EO66" s="73">
        <f t="shared" si="673"/>
        <v>1.4942694978235069E-2</v>
      </c>
      <c r="EP66" s="73">
        <f t="shared" si="674"/>
        <v>5.4003334653999285E-2</v>
      </c>
      <c r="EQ66" s="73">
        <f t="shared" si="675"/>
        <v>9.308053824397497E-2</v>
      </c>
      <c r="ER66" s="73">
        <f t="shared" si="676"/>
        <v>1.1057784590746658E-3</v>
      </c>
      <c r="ES66" s="73">
        <f t="shared" si="677"/>
        <v>0.27257774195277151</v>
      </c>
      <c r="ET66" s="73">
        <f t="shared" si="678"/>
        <v>0.10590804940907053</v>
      </c>
      <c r="EU66" s="73">
        <f t="shared" si="679"/>
        <v>1.6026909725606636E-2</v>
      </c>
      <c r="EV66" s="73">
        <f t="shared" si="680"/>
        <v>4.2243552189324303E-3</v>
      </c>
      <c r="EW66" s="73">
        <f t="shared" si="681"/>
        <v>3.8280573072020976E-5</v>
      </c>
      <c r="EX66" s="73">
        <f t="shared" si="682"/>
        <v>1.2297303722452731E-3</v>
      </c>
      <c r="EY66" s="73">
        <f t="shared" si="683"/>
        <v>0.99999999999999967</v>
      </c>
      <c r="EZ66" s="73">
        <f t="shared" si="684"/>
        <v>0.10042249995412299</v>
      </c>
      <c r="FA66" s="73">
        <f t="shared" si="685"/>
        <v>0.52050226114369924</v>
      </c>
      <c r="FB66" s="73">
        <f t="shared" si="686"/>
        <v>1.4549275096532892</v>
      </c>
      <c r="FC66" s="73">
        <f t="shared" si="687"/>
        <v>0.82784597473178145</v>
      </c>
      <c r="FD66" s="73">
        <f t="shared" si="688"/>
        <v>1.590475270775493</v>
      </c>
      <c r="FE66" s="73">
        <f t="shared" ca="1" si="689"/>
        <v>0.15935520794627997</v>
      </c>
      <c r="FF66" s="73">
        <f t="shared" ca="1" si="690"/>
        <v>1.1248010441762359E-2</v>
      </c>
      <c r="FG66" s="73">
        <f t="shared" ca="1" si="691"/>
        <v>7.0584517360450252E-2</v>
      </c>
      <c r="FH66" s="73">
        <f t="shared" ca="1" si="692"/>
        <v>0.25895187499454803</v>
      </c>
      <c r="FI66" s="73">
        <f t="shared" ca="1" si="693"/>
        <v>8.9387537356416608E-2</v>
      </c>
      <c r="FJ66" s="73">
        <f t="shared" ca="1" si="694"/>
        <v>0.34518976685648084</v>
      </c>
      <c r="FK66" s="73">
        <f t="shared" ca="1" si="695"/>
        <v>8.9387537356416621E-2</v>
      </c>
      <c r="FL66" s="73">
        <f t="shared" ca="1" si="696"/>
        <v>8.9387537356416608E-2</v>
      </c>
      <c r="FM66" s="73"/>
      <c r="FN66" s="73"/>
      <c r="FO66" s="73"/>
      <c r="FP66" s="73">
        <f t="shared" ca="1" si="697"/>
        <v>1.8358939600624942</v>
      </c>
      <c r="FQ66" s="73">
        <f t="shared" ca="1" si="698"/>
        <v>0.16410603993750583</v>
      </c>
      <c r="FR66" s="73">
        <f t="shared" si="479"/>
        <v>0.33333333333333331</v>
      </c>
      <c r="FS66" s="73">
        <f t="shared" ca="1" si="699"/>
        <v>5.4702013312501942E-2</v>
      </c>
      <c r="FT66" s="73">
        <f t="shared" ca="1" si="700"/>
        <v>0.61196465335416472</v>
      </c>
      <c r="FU66" s="73">
        <f t="shared" si="701"/>
        <v>20.026666666666664</v>
      </c>
      <c r="FV66" s="73">
        <f t="shared" ca="1" si="702"/>
        <v>3.9303396565032642</v>
      </c>
      <c r="FW66" s="73">
        <f t="shared" ca="1" si="703"/>
        <v>24.662175530172835</v>
      </c>
      <c r="FX66" s="73">
        <f t="shared" ca="1" si="704"/>
        <v>48.619181853342766</v>
      </c>
      <c r="FY66" s="73">
        <f t="shared" ca="1" si="705"/>
        <v>41.190875500694482</v>
      </c>
      <c r="FZ66" s="73">
        <f t="shared" ca="1" si="706"/>
        <v>8.0839280026532112</v>
      </c>
      <c r="GA66" s="73">
        <f t="shared" ca="1" si="707"/>
        <v>50.725196496652302</v>
      </c>
      <c r="GB66" s="73">
        <f t="shared" ca="1" si="708"/>
        <v>91.794698003124694</v>
      </c>
      <c r="GC66" s="73">
        <f t="shared" ca="1" si="709"/>
        <v>3061023698.16891</v>
      </c>
      <c r="GD66" s="2">
        <f t="shared" si="152"/>
        <v>38</v>
      </c>
      <c r="GE66">
        <f t="shared" ca="1" si="710"/>
        <v>1479.3021628044967</v>
      </c>
      <c r="GF66">
        <f t="shared" ca="1" si="711"/>
        <v>1478.9862530104915</v>
      </c>
      <c r="GG66">
        <f t="shared" ca="1" si="712"/>
        <v>1827.9950468223783</v>
      </c>
      <c r="GH66" s="2">
        <f t="shared" ca="1" si="713"/>
        <v>0.36703729753015907</v>
      </c>
      <c r="GI66" s="2">
        <f t="shared" ca="1" si="714"/>
        <v>1.270570843152989</v>
      </c>
      <c r="GJ66" s="2">
        <f t="shared" ca="1" si="715"/>
        <v>-1.7230944446473839</v>
      </c>
      <c r="GK66" s="2">
        <f t="shared" ca="1" si="716"/>
        <v>1.4584625777962252</v>
      </c>
      <c r="GL66" s="2">
        <f t="shared" ca="1" si="717"/>
        <v>-0.36703729753015907</v>
      </c>
      <c r="GM66">
        <f t="shared" ca="1" si="718"/>
        <v>0.39381525698817821</v>
      </c>
      <c r="GN66">
        <f t="shared" ca="1" si="719"/>
        <v>6.1076988036782083E-2</v>
      </c>
      <c r="GO66">
        <f t="shared" ca="1" si="720"/>
        <v>-0.17154028863532889</v>
      </c>
      <c r="GP66">
        <f t="shared" ca="1" si="721"/>
        <v>-0.12583020747942739</v>
      </c>
      <c r="GQ66">
        <f t="shared" ca="1" si="722"/>
        <v>0.29039045693190485</v>
      </c>
      <c r="GR66">
        <f t="shared" ca="1" si="723"/>
        <v>0.15509045663666485</v>
      </c>
      <c r="GS66">
        <f t="shared" ca="1" si="724"/>
        <v>1.5366906880880576E-2</v>
      </c>
      <c r="GT66">
        <f t="shared" ca="1" si="725"/>
        <v>2.47681399321407E-3</v>
      </c>
      <c r="GU66">
        <f t="shared" ca="1" si="726"/>
        <v>0.40706801671601062</v>
      </c>
      <c r="GV66">
        <f t="shared" ca="1" si="727"/>
        <v>-0.33237688725034753</v>
      </c>
      <c r="GW66">
        <f t="shared" ca="1" si="728"/>
        <v>0.46850638645384129</v>
      </c>
      <c r="GY66" s="15">
        <f t="shared" si="729"/>
        <v>0.18452246549825754</v>
      </c>
      <c r="GZ66" s="2">
        <f t="shared" si="730"/>
        <v>6.8984310205306376E-2</v>
      </c>
      <c r="HA66" s="2">
        <f t="shared" si="731"/>
        <v>1.9516946181145439E-2</v>
      </c>
      <c r="HB66" s="2">
        <f t="shared" si="732"/>
        <v>0.27302372188470936</v>
      </c>
      <c r="HC66" s="2">
        <f t="shared" si="733"/>
        <v>0.67584774035194073</v>
      </c>
      <c r="HD66" s="2">
        <f t="shared" si="734"/>
        <v>0.25266782581784819</v>
      </c>
      <c r="HE66" s="2">
        <f t="shared" si="735"/>
        <v>7.1484433830211011E-2</v>
      </c>
      <c r="HF66" s="2">
        <f t="shared" si="736"/>
        <v>-1.2596085833350843</v>
      </c>
      <c r="HG66" s="2">
        <f t="shared" si="737"/>
        <v>-1.3320333471603012</v>
      </c>
      <c r="HH66" s="2">
        <f t="shared" si="738"/>
        <v>-1.2958209652476929</v>
      </c>
      <c r="HI66" s="2">
        <f t="shared" si="739"/>
        <v>1.4927823438491352</v>
      </c>
      <c r="HJ66" s="2">
        <f t="shared" si="740"/>
        <v>0.27515545919597778</v>
      </c>
      <c r="HK66" s="2">
        <f t="shared" si="741"/>
        <v>0.34239250439887964</v>
      </c>
      <c r="HL66" s="2">
        <f t="shared" si="742"/>
        <v>0.69772157991432138</v>
      </c>
    </row>
    <row r="67" spans="1:220" ht="20.25">
      <c r="A67" s="150" t="s">
        <v>319</v>
      </c>
      <c r="B67" s="77">
        <v>3500</v>
      </c>
      <c r="C67" s="95">
        <f t="shared" ca="1" si="554"/>
        <v>-4.7389805900423649</v>
      </c>
      <c r="D67" s="70">
        <f t="shared" ca="1" si="555"/>
        <v>-4.8108779323703015</v>
      </c>
      <c r="E67" s="71">
        <f t="shared" ca="1" si="556"/>
        <v>-4.738980590042364</v>
      </c>
      <c r="F67" s="177">
        <v>46.943893087029963</v>
      </c>
      <c r="G67" s="177">
        <v>0.87483398032748394</v>
      </c>
      <c r="H67" s="177">
        <v>14.84476622502067</v>
      </c>
      <c r="I67" s="177">
        <v>9.256286462479359</v>
      </c>
      <c r="J67" s="177">
        <v>0.10522655325674776</v>
      </c>
      <c r="K67" s="177">
        <v>14.72</v>
      </c>
      <c r="L67" s="177">
        <v>11.028394812864452</v>
      </c>
      <c r="M67" s="177">
        <v>2.1234129532225423</v>
      </c>
      <c r="N67" s="177">
        <v>3.7144861578140669E-2</v>
      </c>
      <c r="O67" s="328">
        <v>0.01</v>
      </c>
      <c r="P67" s="177">
        <v>0.1</v>
      </c>
      <c r="Q67" s="84"/>
      <c r="R67" s="72">
        <f t="shared" si="557"/>
        <v>100.04395893577934</v>
      </c>
      <c r="S67" s="106">
        <f t="shared" ca="1" si="558"/>
        <v>2.0786265982445746</v>
      </c>
      <c r="T67" s="104">
        <f t="shared" ca="1" si="559"/>
        <v>0.3422942578477236</v>
      </c>
      <c r="U67" s="107">
        <f t="shared" ca="1" si="560"/>
        <v>1457.8841572784129</v>
      </c>
      <c r="V67" s="107">
        <f t="shared" ca="1" si="561"/>
        <v>1434.0663261835477</v>
      </c>
      <c r="W67" s="105">
        <f t="shared" ca="1" si="562"/>
        <v>1440.6609504448797</v>
      </c>
      <c r="X67" s="102">
        <f t="shared" ca="1" si="563"/>
        <v>1512.6803633760912</v>
      </c>
      <c r="Y67" s="102">
        <f t="shared" ca="1" si="564"/>
        <v>1433.5696330549067</v>
      </c>
      <c r="Z67" s="103">
        <f t="shared" ca="1" si="565"/>
        <v>1474.2399005428042</v>
      </c>
      <c r="AA67" s="103">
        <f t="shared" ca="1" si="566"/>
        <v>1460.9975720043726</v>
      </c>
      <c r="AB67" s="103">
        <f t="shared" ca="1" si="567"/>
        <v>41.718107745206993</v>
      </c>
      <c r="AC67" s="4">
        <v>13.3</v>
      </c>
      <c r="AD67" s="273">
        <f t="shared" ca="1" si="568"/>
        <v>11.249757666182022</v>
      </c>
      <c r="AE67" s="3">
        <f t="shared" ca="1" si="569"/>
        <v>106.48546310512332</v>
      </c>
      <c r="AF67" s="3">
        <f t="shared" ca="1" si="570"/>
        <v>212.85826970830885</v>
      </c>
      <c r="AG67" s="2">
        <f t="shared" ca="1" si="571"/>
        <v>500.26462796604557</v>
      </c>
      <c r="AH67" s="2">
        <f t="shared" ca="1" si="572"/>
        <v>50.315291329556551</v>
      </c>
      <c r="AI67" s="87">
        <f t="shared" si="573"/>
        <v>0.32648241484536389</v>
      </c>
      <c r="AJ67" s="87">
        <f t="shared" ca="1" si="574"/>
        <v>2.0786265982445746</v>
      </c>
      <c r="AK67" s="87">
        <f t="shared" ca="1" si="575"/>
        <v>0.27952305858438914</v>
      </c>
      <c r="AL67" s="86">
        <f t="shared" ca="1" si="576"/>
        <v>0.27284313732484278</v>
      </c>
      <c r="AM67" s="87">
        <f t="shared" ca="1" si="577"/>
        <v>0.3422942578477236</v>
      </c>
      <c r="AN67" s="87">
        <f t="shared" ca="1" si="578"/>
        <v>0.34229425784772421</v>
      </c>
      <c r="AO67" s="96">
        <f t="shared" ca="1" si="579"/>
        <v>41.088994956030334</v>
      </c>
      <c r="AP67" s="96">
        <f t="shared" ca="1" si="580"/>
        <v>8.6272047316357767</v>
      </c>
      <c r="AQ67" s="96">
        <f t="shared" ca="1" si="581"/>
        <v>50.283800312333895</v>
      </c>
      <c r="AR67" s="73"/>
      <c r="AS67" s="53">
        <f t="shared" ca="1" si="138"/>
        <v>78.055559502930677</v>
      </c>
      <c r="AT67" s="68">
        <f t="shared" ca="1" si="582"/>
        <v>91.22155198241299</v>
      </c>
      <c r="AU67" s="74">
        <f t="shared" ca="1" si="583"/>
        <v>0.34229425784772421</v>
      </c>
      <c r="AV67" s="68">
        <f t="shared" si="584"/>
        <v>3.0344320209784081</v>
      </c>
      <c r="AW67" s="68">
        <f t="shared" ca="1" si="585"/>
        <v>3.0744602381156052</v>
      </c>
      <c r="AX67" s="69">
        <f t="shared" ca="1" si="586"/>
        <v>1458.6156322980382</v>
      </c>
      <c r="AY67" s="69">
        <f t="shared" ca="1" si="587"/>
        <v>1457.8841572784131</v>
      </c>
      <c r="AZ67" s="69">
        <f t="shared" ca="1" si="588"/>
        <v>1434.066326183548</v>
      </c>
      <c r="BA67" s="75"/>
      <c r="BB67" s="74">
        <f t="shared" ca="1" si="589"/>
        <v>0.10057735149919769</v>
      </c>
      <c r="BC67" s="74">
        <f t="shared" ca="1" si="590"/>
        <v>4.3376046900727216E-2</v>
      </c>
      <c r="BD67" s="68">
        <f t="shared" si="591"/>
        <v>4.0262554690807806E-2</v>
      </c>
      <c r="BE67" s="68">
        <f t="shared" ca="1" si="592"/>
        <v>0.15758530468514959</v>
      </c>
      <c r="BF67" s="68">
        <f t="shared" ca="1" si="593"/>
        <v>0.10821923574482373</v>
      </c>
      <c r="BH67" s="68">
        <f t="shared" ca="1" si="594"/>
        <v>4.4004724578034386E-2</v>
      </c>
      <c r="BI67" s="68">
        <f t="shared" ca="1" si="595"/>
        <v>9.6242310876009651E-2</v>
      </c>
      <c r="BK67" s="53">
        <f t="shared" ca="1" si="596"/>
        <v>0.17079366627918352</v>
      </c>
      <c r="BL67" s="53">
        <f t="shared" si="597"/>
        <v>1.0285665226116361E-2</v>
      </c>
      <c r="BM67" s="53">
        <f t="shared" si="598"/>
        <v>9.3332071355213125E-3</v>
      </c>
      <c r="BN67" s="53">
        <f t="shared" si="599"/>
        <v>0.19738413927291953</v>
      </c>
      <c r="BO67" s="53">
        <f t="shared" si="600"/>
        <v>9.8971795621308867E-2</v>
      </c>
      <c r="BP67" s="53">
        <f t="shared" si="601"/>
        <v>0.10640806815194925</v>
      </c>
      <c r="BQ67" s="54">
        <f t="shared" si="602"/>
        <v>1344.499456</v>
      </c>
      <c r="BR67" s="262">
        <f t="shared" si="603"/>
        <v>2.5589891086785506</v>
      </c>
      <c r="BS67" s="54">
        <f t="shared" si="604"/>
        <v>1471.8984478843513</v>
      </c>
      <c r="BT67" s="67"/>
      <c r="BU67" s="73">
        <f t="shared" si="605"/>
        <v>0.78135640957107133</v>
      </c>
      <c r="BV67" s="73">
        <f t="shared" si="606"/>
        <v>1.0949111143022326E-2</v>
      </c>
      <c r="BW67" s="73">
        <f t="shared" si="607"/>
        <v>0.29118803893724343</v>
      </c>
      <c r="BX67" s="73">
        <f t="shared" si="608"/>
        <v>0.1288279257130043</v>
      </c>
      <c r="BY67" s="73">
        <f t="shared" si="609"/>
        <v>1.4833176382400305E-3</v>
      </c>
      <c r="BZ67" s="73">
        <f t="shared" si="610"/>
        <v>0.36526054590570722</v>
      </c>
      <c r="CA67" s="73">
        <f t="shared" si="611"/>
        <v>0.19665468639201947</v>
      </c>
      <c r="CB67" s="73">
        <f t="shared" si="612"/>
        <v>6.8519295037836159E-2</v>
      </c>
      <c r="CC67" s="73">
        <f t="shared" si="613"/>
        <v>7.8863825006668083E-4</v>
      </c>
      <c r="CD67" s="73">
        <f t="shared" si="614"/>
        <v>1.3158760444766102E-4</v>
      </c>
      <c r="CE67" s="73">
        <f t="shared" si="615"/>
        <v>1.409046075806679E-3</v>
      </c>
      <c r="CF67" s="73">
        <f t="shared" si="616"/>
        <v>1.8465686022684653</v>
      </c>
      <c r="CG67" s="73">
        <f t="shared" si="617"/>
        <v>0.42313965948039717</v>
      </c>
      <c r="CH67" s="73">
        <f t="shared" si="618"/>
        <v>5.929436431211711E-3</v>
      </c>
      <c r="CI67" s="73">
        <f t="shared" si="619"/>
        <v>0.15769142753728504</v>
      </c>
      <c r="CJ67" s="73">
        <f t="shared" si="620"/>
        <v>6.9766119468695764E-2</v>
      </c>
      <c r="CK67" s="73">
        <f t="shared" si="621"/>
        <v>8.032832554489502E-4</v>
      </c>
      <c r="CL67" s="73">
        <f t="shared" si="622"/>
        <v>0.19780502357561663</v>
      </c>
      <c r="CM67" s="73">
        <f t="shared" si="623"/>
        <v>0.1064973628114514</v>
      </c>
      <c r="CN67" s="73">
        <f t="shared" si="624"/>
        <v>3.71062818644603E-2</v>
      </c>
      <c r="CO67" s="73">
        <f t="shared" si="625"/>
        <v>4.2708310381637469E-4</v>
      </c>
      <c r="CP67" s="73">
        <f t="shared" si="626"/>
        <v>7.1260609698447591E-5</v>
      </c>
      <c r="CQ67" s="73">
        <f t="shared" si="627"/>
        <v>7.6306186191820856E-4</v>
      </c>
      <c r="CR67" s="73"/>
      <c r="CS67" s="73">
        <f t="shared" ca="1" si="628"/>
        <v>0.68390470965429984</v>
      </c>
      <c r="CT67" s="73">
        <f t="shared" ca="1" si="629"/>
        <v>0.12007243885366427</v>
      </c>
      <c r="CU67" s="73">
        <f t="shared" ca="1" si="630"/>
        <v>1.2477369804549354</v>
      </c>
      <c r="CV67" s="73">
        <f t="shared" ca="1" si="631"/>
        <v>2.0517141289628995</v>
      </c>
      <c r="CW67" s="73">
        <f t="shared" ca="1" si="632"/>
        <v>0.33333333333333331</v>
      </c>
      <c r="CX67" s="73">
        <f t="shared" ca="1" si="633"/>
        <v>5.8522986783913454E-2</v>
      </c>
      <c r="CY67" s="73">
        <f t="shared" ca="1" si="634"/>
        <v>0.6081436798827532</v>
      </c>
      <c r="CZ67" s="73">
        <f t="shared" si="635"/>
        <v>0.37487178911121272</v>
      </c>
      <c r="DA67" s="73">
        <f t="shared" si="636"/>
        <v>0.42313965948039717</v>
      </c>
      <c r="DB67" s="73">
        <f t="shared" si="637"/>
        <v>-0.64226059430897076</v>
      </c>
      <c r="DC67" s="73"/>
      <c r="DD67" s="73">
        <f t="shared" ca="1" si="638"/>
        <v>1458.6156322980382</v>
      </c>
      <c r="DE67" s="73">
        <f t="shared" ca="1" si="639"/>
        <v>14630.369517798663</v>
      </c>
      <c r="DF67" s="73">
        <f t="shared" si="640"/>
        <v>8.4482387483254797</v>
      </c>
      <c r="DG67" s="73">
        <f t="shared" si="641"/>
        <v>1610.1469439033465</v>
      </c>
      <c r="DH67" s="73">
        <f t="shared" si="642"/>
        <v>1336.9969439033466</v>
      </c>
      <c r="DI67" s="73">
        <f t="shared" si="449"/>
        <v>13602.905801982104</v>
      </c>
      <c r="DJ67" s="73">
        <f t="shared" si="643"/>
        <v>8.4482387483254797</v>
      </c>
      <c r="DK67" s="73">
        <f t="shared" si="644"/>
        <v>1610.1469439033465</v>
      </c>
      <c r="DL67" s="73">
        <f t="shared" ca="1" si="645"/>
        <v>2.0786265982445746</v>
      </c>
      <c r="DM67" s="73">
        <f t="shared" si="646"/>
        <v>-0.64226059430897076</v>
      </c>
      <c r="DN67" s="73">
        <f t="shared" si="647"/>
        <v>0.37487178911121272</v>
      </c>
      <c r="DO67" s="73">
        <f t="shared" si="648"/>
        <v>0.42313965948039717</v>
      </c>
      <c r="DP67" s="73">
        <f t="shared" si="649"/>
        <v>3.0344320209784081</v>
      </c>
      <c r="DQ67" s="73">
        <f t="shared" ca="1" si="650"/>
        <v>14630.465127512289</v>
      </c>
      <c r="DR67" s="73">
        <f t="shared" si="651"/>
        <v>8.4480155211533443</v>
      </c>
      <c r="DS67" s="73">
        <f t="shared" ca="1" si="652"/>
        <v>1458.6727092360861</v>
      </c>
      <c r="DT67" s="73">
        <f t="shared" si="653"/>
        <v>1337.0564912095324</v>
      </c>
      <c r="DU67" s="73">
        <f t="shared" ca="1" si="654"/>
        <v>1440.6609504448797</v>
      </c>
      <c r="DV67" s="76">
        <f t="shared" ca="1" si="655"/>
        <v>3.0744602381156052</v>
      </c>
      <c r="DW67" s="73">
        <f t="shared" ca="1" si="656"/>
        <v>3.1706168213036974</v>
      </c>
      <c r="DX67" s="73">
        <f t="shared" ca="1" si="657"/>
        <v>4544.5115392972939</v>
      </c>
      <c r="DY67" s="73">
        <f t="shared" ca="1" si="658"/>
        <v>1433.3209578534554</v>
      </c>
      <c r="DZ67" s="73">
        <f t="shared" ca="1" si="659"/>
        <v>4.7263623556110064</v>
      </c>
      <c r="EA67" s="73"/>
      <c r="EB67" s="73">
        <f t="shared" si="660"/>
        <v>0.78135640957107133</v>
      </c>
      <c r="EC67" s="73">
        <f t="shared" si="661"/>
        <v>1.0949111143022326E-2</v>
      </c>
      <c r="ED67" s="73">
        <f t="shared" si="662"/>
        <v>0.14559401946862172</v>
      </c>
      <c r="EE67" s="73">
        <f t="shared" si="663"/>
        <v>0.1288279257130043</v>
      </c>
      <c r="EF67" s="73">
        <f t="shared" si="664"/>
        <v>1.4833176382400305E-3</v>
      </c>
      <c r="EG67" s="73">
        <f t="shared" si="665"/>
        <v>0.36526054590570722</v>
      </c>
      <c r="EH67" s="73">
        <f t="shared" si="666"/>
        <v>0.19665468639201947</v>
      </c>
      <c r="EI67" s="73">
        <f t="shared" si="667"/>
        <v>3.4259647518918079E-2</v>
      </c>
      <c r="EJ67" s="73">
        <f t="shared" si="668"/>
        <v>3.9431912503334041E-4</v>
      </c>
      <c r="EK67" s="73">
        <f t="shared" si="669"/>
        <v>6.5793802223830508E-5</v>
      </c>
      <c r="EL67" s="73">
        <f t="shared" si="670"/>
        <v>7.0452303790333951E-4</v>
      </c>
      <c r="EM67" s="73">
        <f t="shared" si="671"/>
        <v>1.6655502993157651</v>
      </c>
      <c r="EN67" s="73">
        <f t="shared" si="672"/>
        <v>0.46912807730397882</v>
      </c>
      <c r="EO67" s="73">
        <f t="shared" si="673"/>
        <v>6.5738699981143754E-3</v>
      </c>
      <c r="EP67" s="73">
        <f t="shared" si="674"/>
        <v>8.7414964008252452E-2</v>
      </c>
      <c r="EQ67" s="73">
        <f t="shared" si="675"/>
        <v>7.7348565075416154E-2</v>
      </c>
      <c r="ER67" s="73">
        <f t="shared" si="676"/>
        <v>8.90587116371929E-4</v>
      </c>
      <c r="ES67" s="73">
        <f t="shared" si="677"/>
        <v>0.21930322131715993</v>
      </c>
      <c r="ET67" s="73">
        <f t="shared" si="678"/>
        <v>0.11807189880294121</v>
      </c>
      <c r="EU67" s="73">
        <f t="shared" si="679"/>
        <v>2.0569566426779481E-2</v>
      </c>
      <c r="EV67" s="73">
        <f t="shared" si="680"/>
        <v>2.3675005503906609E-4</v>
      </c>
      <c r="EW67" s="73">
        <f t="shared" si="681"/>
        <v>3.9502741076543687E-5</v>
      </c>
      <c r="EX67" s="73">
        <f t="shared" si="682"/>
        <v>4.2299715486993631E-4</v>
      </c>
      <c r="EY67" s="73">
        <f t="shared" si="683"/>
        <v>0.99999999999999989</v>
      </c>
      <c r="EZ67" s="73">
        <f t="shared" si="684"/>
        <v>0.15769142753728504</v>
      </c>
      <c r="FA67" s="73">
        <f t="shared" si="685"/>
        <v>0.58676052344889396</v>
      </c>
      <c r="FB67" s="73">
        <f t="shared" si="686"/>
        <v>1.4903283502938396</v>
      </c>
      <c r="FC67" s="73">
        <f t="shared" si="687"/>
        <v>0.63361460679210335</v>
      </c>
      <c r="FD67" s="73">
        <f t="shared" si="688"/>
        <v>1.0798521397925815</v>
      </c>
      <c r="FE67" s="73">
        <f t="shared" ca="1" si="689"/>
        <v>0.12727298403733353</v>
      </c>
      <c r="FF67" s="73">
        <f t="shared" ca="1" si="690"/>
        <v>7.8469684959110112E-3</v>
      </c>
      <c r="FG67" s="73">
        <f t="shared" ca="1" si="691"/>
        <v>6.1654628083594135E-2</v>
      </c>
      <c r="FH67" s="73">
        <f t="shared" ca="1" si="692"/>
        <v>0.2811387252466675</v>
      </c>
      <c r="FI67" s="73">
        <f t="shared" ca="1" si="693"/>
        <v>9.6232171310563261E-2</v>
      </c>
      <c r="FJ67" s="73">
        <f t="shared" ca="1" si="694"/>
        <v>0.3422942578477241</v>
      </c>
      <c r="FK67" s="73">
        <f t="shared" ca="1" si="695"/>
        <v>9.6232171310563233E-2</v>
      </c>
      <c r="FL67" s="73">
        <f t="shared" ca="1" si="696"/>
        <v>9.6232171310563122E-2</v>
      </c>
      <c r="FM67" s="73"/>
      <c r="FN67" s="73"/>
      <c r="FO67" s="73"/>
      <c r="FP67" s="73">
        <f t="shared" ca="1" si="697"/>
        <v>1.8244310396482597</v>
      </c>
      <c r="FQ67" s="73">
        <f t="shared" ca="1" si="698"/>
        <v>0.1755689603517403</v>
      </c>
      <c r="FR67" s="73">
        <f t="shared" si="479"/>
        <v>0.33333333333333331</v>
      </c>
      <c r="FS67" s="73">
        <f t="shared" ca="1" si="699"/>
        <v>5.8522986783913433E-2</v>
      </c>
      <c r="FT67" s="73">
        <f t="shared" ca="1" si="700"/>
        <v>0.6081436798827532</v>
      </c>
      <c r="FU67" s="73">
        <f t="shared" si="701"/>
        <v>20.026666666666664</v>
      </c>
      <c r="FV67" s="73">
        <f t="shared" ca="1" si="702"/>
        <v>4.2048766004241802</v>
      </c>
      <c r="FW67" s="73">
        <f t="shared" ca="1" si="703"/>
        <v>24.508190299274951</v>
      </c>
      <c r="FX67" s="73">
        <f t="shared" ca="1" si="704"/>
        <v>48.739733566365793</v>
      </c>
      <c r="FY67" s="73">
        <f t="shared" ca="1" si="705"/>
        <v>41.088994956030334</v>
      </c>
      <c r="FZ67" s="73">
        <f t="shared" ca="1" si="706"/>
        <v>8.6272047316357767</v>
      </c>
      <c r="GA67" s="73">
        <f t="shared" ca="1" si="707"/>
        <v>50.283800312333895</v>
      </c>
      <c r="GB67" s="73">
        <f t="shared" ca="1" si="708"/>
        <v>91.22155198241299</v>
      </c>
      <c r="GC67" s="73">
        <f t="shared" ca="1" si="709"/>
        <v>2078626598.2445745</v>
      </c>
      <c r="GD67" s="2">
        <f t="shared" si="152"/>
        <v>38</v>
      </c>
      <c r="GE67">
        <f t="shared" ca="1" si="710"/>
        <v>1374.6976813056415</v>
      </c>
      <c r="GF67">
        <f t="shared" ca="1" si="711"/>
        <v>1374.1966806244222</v>
      </c>
      <c r="GG67">
        <f t="shared" ca="1" si="712"/>
        <v>1773.4412821412186</v>
      </c>
      <c r="GH67" s="2">
        <f t="shared" ca="1" si="713"/>
        <v>0.20961454791385548</v>
      </c>
      <c r="GI67" s="2">
        <f t="shared" ca="1" si="714"/>
        <v>1.5672547673301382</v>
      </c>
      <c r="GJ67" s="2">
        <f t="shared" ca="1" si="715"/>
        <v>-2.2850255858041035</v>
      </c>
      <c r="GK67" s="2">
        <f t="shared" ca="1" si="716"/>
        <v>1.7246921918757201</v>
      </c>
      <c r="GL67" s="2">
        <f t="shared" ca="1" si="717"/>
        <v>-0.20961454791385548</v>
      </c>
      <c r="GM67">
        <f t="shared" ca="1" si="718"/>
        <v>0.44162964200566185</v>
      </c>
      <c r="GN67">
        <f t="shared" ca="1" si="719"/>
        <v>8.6134005972430497E-2</v>
      </c>
      <c r="GO67">
        <f t="shared" ca="1" si="720"/>
        <v>-0.20065788118253139</v>
      </c>
      <c r="GP67">
        <f t="shared" ca="1" si="721"/>
        <v>-6.0768683508065691E-2</v>
      </c>
      <c r="GQ67">
        <f t="shared" ca="1" si="722"/>
        <v>0.30290521302154638</v>
      </c>
      <c r="GR67">
        <f t="shared" ca="1" si="723"/>
        <v>0.19503674069804905</v>
      </c>
      <c r="GS67">
        <f t="shared" ca="1" si="724"/>
        <v>-5.3755191702035202E-2</v>
      </c>
      <c r="GT67">
        <f t="shared" ca="1" si="725"/>
        <v>1.25511518631607E-3</v>
      </c>
      <c r="GU67">
        <f t="shared" ca="1" si="726"/>
        <v>0.21983755925802076</v>
      </c>
      <c r="GV67">
        <f t="shared" ca="1" si="727"/>
        <v>-0.49067353498449906</v>
      </c>
      <c r="GW67">
        <f t="shared" ca="1" si="728"/>
        <v>0.17079366627918352</v>
      </c>
      <c r="GY67" s="15">
        <f t="shared" si="729"/>
        <v>0.13374874267656692</v>
      </c>
      <c r="GZ67" s="2">
        <f t="shared" si="730"/>
        <v>9.4028336747443375E-2</v>
      </c>
      <c r="HA67" s="2">
        <f t="shared" si="731"/>
        <v>3.7813109690090094E-2</v>
      </c>
      <c r="HB67" s="2">
        <f t="shared" si="732"/>
        <v>0.26559018911410037</v>
      </c>
      <c r="HC67" s="2">
        <f t="shared" si="733"/>
        <v>0.50359067525309464</v>
      </c>
      <c r="HD67" s="2">
        <f t="shared" si="734"/>
        <v>0.35403542977654118</v>
      </c>
      <c r="HE67" s="2">
        <f t="shared" si="735"/>
        <v>0.14237389497036421</v>
      </c>
      <c r="HF67" s="2">
        <f t="shared" si="736"/>
        <v>-1.3856845960535773</v>
      </c>
      <c r="HG67" s="2">
        <f t="shared" si="737"/>
        <v>-1.3680365362500801</v>
      </c>
      <c r="HH67" s="2">
        <f t="shared" si="738"/>
        <v>-1.3768605661518287</v>
      </c>
      <c r="HI67" s="2">
        <f t="shared" si="739"/>
        <v>1.9827696292965302</v>
      </c>
      <c r="HJ67" s="2">
        <f t="shared" si="740"/>
        <v>0.24037796271380901</v>
      </c>
      <c r="HK67" s="2">
        <f t="shared" si="741"/>
        <v>0.33245335907963136</v>
      </c>
      <c r="HL67" s="2">
        <f t="shared" si="742"/>
        <v>0.86643818042033549</v>
      </c>
    </row>
    <row r="68" spans="1:220" ht="20.25">
      <c r="A68" s="150" t="s">
        <v>320</v>
      </c>
      <c r="B68" s="77">
        <v>3500</v>
      </c>
      <c r="C68" s="95">
        <f t="shared" ca="1" si="554"/>
        <v>-2.8291709607566844</v>
      </c>
      <c r="D68" s="70">
        <f t="shared" ca="1" si="555"/>
        <v>-2.4807219588153147</v>
      </c>
      <c r="E68" s="71">
        <f t="shared" ca="1" si="556"/>
        <v>-2.8291709607566844</v>
      </c>
      <c r="F68" s="177">
        <v>44.042683119728856</v>
      </c>
      <c r="G68" s="177">
        <v>1.6428850953805827</v>
      </c>
      <c r="H68" s="177">
        <v>10.472088916415087</v>
      </c>
      <c r="I68" s="177">
        <v>11.75720536191916</v>
      </c>
      <c r="J68" s="177">
        <v>0.15639214416333611</v>
      </c>
      <c r="K68" s="177">
        <v>19.399999999999999</v>
      </c>
      <c r="L68" s="177">
        <v>9.0555196659531045</v>
      </c>
      <c r="M68" s="177">
        <v>2.3042448594443137</v>
      </c>
      <c r="N68" s="326">
        <v>0.82743165491563508</v>
      </c>
      <c r="O68" s="328">
        <v>0.01</v>
      </c>
      <c r="P68" s="177">
        <v>0.3</v>
      </c>
      <c r="Q68" s="84"/>
      <c r="R68" s="72">
        <f t="shared" si="557"/>
        <v>99.968450817920058</v>
      </c>
      <c r="S68" s="106">
        <f t="shared" ca="1" si="558"/>
        <v>3.7729156038647131</v>
      </c>
      <c r="T68" s="104">
        <f t="shared" ca="1" si="559"/>
        <v>0.34672994723225431</v>
      </c>
      <c r="U68" s="107">
        <f t="shared" ca="1" si="560"/>
        <v>1678.7586233030677</v>
      </c>
      <c r="V68" s="107">
        <f t="shared" ca="1" si="561"/>
        <v>1611.9087010640203</v>
      </c>
      <c r="W68" s="105">
        <f t="shared" ca="1" si="562"/>
        <v>1621.8857455038449</v>
      </c>
      <c r="X68" s="102">
        <f t="shared" ca="1" si="563"/>
        <v>1648.1895754594675</v>
      </c>
      <c r="Y68" s="102">
        <f t="shared" ca="1" si="564"/>
        <v>1571.1880571312781</v>
      </c>
      <c r="Z68" s="103">
        <f t="shared" ca="1" si="565"/>
        <v>1627.7889305782198</v>
      </c>
      <c r="AA68" s="103">
        <f t="shared" ca="1" si="566"/>
        <v>1619.1167411078636</v>
      </c>
      <c r="AB68" s="103">
        <f t="shared" ca="1" si="567"/>
        <v>40.825482713277083</v>
      </c>
      <c r="AC68" s="4">
        <v>13.3</v>
      </c>
      <c r="AD68" s="273">
        <f t="shared" ca="1" si="568"/>
        <v>12.566192390809375</v>
      </c>
      <c r="AE68" s="3">
        <f t="shared" ca="1" si="569"/>
        <v>119.41565266066679</v>
      </c>
      <c r="AF68" s="3">
        <f t="shared" ca="1" si="570"/>
        <v>214.19098684222357</v>
      </c>
      <c r="AG68" s="2">
        <f t="shared" ca="1" si="571"/>
        <v>557.51950360371711</v>
      </c>
      <c r="AH68" s="2">
        <f t="shared" ca="1" si="572"/>
        <v>54.619223396294075</v>
      </c>
      <c r="AI68" s="87">
        <f t="shared" si="573"/>
        <v>0.44175226342006169</v>
      </c>
      <c r="AJ68" s="87">
        <f t="shared" ca="1" si="574"/>
        <v>3.7729156038647131</v>
      </c>
      <c r="AK68" s="87">
        <f t="shared" ca="1" si="575"/>
        <v>0.2796304440640785</v>
      </c>
      <c r="AL68" s="86">
        <f t="shared" ca="1" si="576"/>
        <v>0.25597592026221944</v>
      </c>
      <c r="AM68" s="87">
        <f t="shared" ca="1" si="577"/>
        <v>0.34672994723225431</v>
      </c>
      <c r="AN68" s="87">
        <f t="shared" ca="1" si="578"/>
        <v>0.34672994723225448</v>
      </c>
      <c r="AO68" s="96">
        <f t="shared" ca="1" si="579"/>
        <v>41.226652282551463</v>
      </c>
      <c r="AP68" s="96">
        <f t="shared" ca="1" si="580"/>
        <v>7.8931487612891518</v>
      </c>
      <c r="AQ68" s="96">
        <f t="shared" ca="1" si="581"/>
        <v>50.880198956159383</v>
      </c>
      <c r="AR68" s="73"/>
      <c r="AS68" s="53">
        <f t="shared" ca="1" si="138"/>
        <v>79.939201593968718</v>
      </c>
      <c r="AT68" s="68">
        <f t="shared" ca="1" si="582"/>
        <v>91.995294222896774</v>
      </c>
      <c r="AU68" s="74">
        <f t="shared" ca="1" si="583"/>
        <v>0.34672994723225448</v>
      </c>
      <c r="AV68" s="68">
        <f t="shared" si="584"/>
        <v>2.3303124428289785</v>
      </c>
      <c r="AW68" s="68">
        <f t="shared" ca="1" si="585"/>
        <v>2.3748193366472448</v>
      </c>
      <c r="AX68" s="69">
        <f t="shared" ca="1" si="586"/>
        <v>1682.3264435833435</v>
      </c>
      <c r="AY68" s="69">
        <f t="shared" ca="1" si="587"/>
        <v>1678.7586233030677</v>
      </c>
      <c r="AZ68" s="69">
        <f t="shared" ca="1" si="588"/>
        <v>1611.9087010640203</v>
      </c>
      <c r="BA68" s="75"/>
      <c r="BB68" s="74">
        <f t="shared" ca="1" si="589"/>
        <v>9.7968273833012348E-2</v>
      </c>
      <c r="BC68" s="74">
        <f t="shared" ca="1" si="590"/>
        <v>4.3465001729348085E-3</v>
      </c>
      <c r="BD68" s="68">
        <f t="shared" si="591"/>
        <v>1.4028078894644108E-2</v>
      </c>
      <c r="BE68" s="68">
        <f t="shared" ca="1" si="592"/>
        <v>0.12173765520872049</v>
      </c>
      <c r="BF68" s="68">
        <f t="shared" ca="1" si="593"/>
        <v>0.12822282652654293</v>
      </c>
      <c r="BH68" s="68">
        <f t="shared" ca="1" si="594"/>
        <v>5.3325478632220466E-2</v>
      </c>
      <c r="BI68" s="68">
        <f t="shared" ca="1" si="595"/>
        <v>0.12788453470214189</v>
      </c>
      <c r="BK68" s="53">
        <f t="shared" ca="1" si="596"/>
        <v>0.57550105210841229</v>
      </c>
      <c r="BL68" s="53">
        <f t="shared" si="597"/>
        <v>2.1995246957657682E-2</v>
      </c>
      <c r="BM68" s="53">
        <f t="shared" si="598"/>
        <v>2.1597888456149489E-2</v>
      </c>
      <c r="BN68" s="53">
        <f t="shared" si="599"/>
        <v>0.28170418232504923</v>
      </c>
      <c r="BO68" s="53">
        <f t="shared" si="600"/>
        <v>1.374478895596372</v>
      </c>
      <c r="BP68" s="53">
        <f t="shared" si="601"/>
        <v>1.0318539286146011E-2</v>
      </c>
      <c r="BQ68" s="54">
        <f t="shared" si="602"/>
        <v>1433.1424</v>
      </c>
      <c r="BR68" s="262">
        <f t="shared" si="603"/>
        <v>4.4729941009813494</v>
      </c>
      <c r="BS68" s="54">
        <f t="shared" si="604"/>
        <v>1635.9631003868708</v>
      </c>
      <c r="BT68" s="67"/>
      <c r="BU68" s="73">
        <f t="shared" si="605"/>
        <v>0.73306729560134587</v>
      </c>
      <c r="BV68" s="73">
        <f t="shared" si="606"/>
        <v>2.0561765899631823E-2</v>
      </c>
      <c r="BW68" s="73">
        <f t="shared" si="607"/>
        <v>0.20541563194223397</v>
      </c>
      <c r="BX68" s="73">
        <f t="shared" si="608"/>
        <v>0.16363542605315465</v>
      </c>
      <c r="BY68" s="73">
        <f t="shared" si="609"/>
        <v>2.2045692721079238E-3</v>
      </c>
      <c r="BZ68" s="73">
        <f t="shared" si="610"/>
        <v>0.4813895781637717</v>
      </c>
      <c r="CA68" s="73">
        <f t="shared" si="611"/>
        <v>0.16147502970672442</v>
      </c>
      <c r="CB68" s="73">
        <f t="shared" si="612"/>
        <v>7.4354464648090146E-2</v>
      </c>
      <c r="CC68" s="73">
        <f t="shared" si="613"/>
        <v>1.7567551059779939E-2</v>
      </c>
      <c r="CD68" s="73">
        <f t="shared" si="614"/>
        <v>1.3158760444766102E-4</v>
      </c>
      <c r="CE68" s="73">
        <f t="shared" si="615"/>
        <v>4.2271382274200369E-3</v>
      </c>
      <c r="CF68" s="73">
        <f t="shared" si="616"/>
        <v>1.8640300381787083</v>
      </c>
      <c r="CG68" s="73">
        <f t="shared" si="617"/>
        <v>0.39327010862850981</v>
      </c>
      <c r="CH68" s="73">
        <f t="shared" si="618"/>
        <v>1.1030812529030997E-2</v>
      </c>
      <c r="CI68" s="73">
        <f t="shared" si="619"/>
        <v>0.11019974342416705</v>
      </c>
      <c r="CJ68" s="73">
        <f t="shared" si="620"/>
        <v>8.7785831076541157E-2</v>
      </c>
      <c r="CK68" s="73">
        <f t="shared" si="621"/>
        <v>1.182689778037025E-3</v>
      </c>
      <c r="CL68" s="73">
        <f t="shared" si="622"/>
        <v>0.2582520497545866</v>
      </c>
      <c r="CM68" s="73">
        <f t="shared" si="623"/>
        <v>8.66268388381215E-2</v>
      </c>
      <c r="CN68" s="73">
        <f t="shared" si="624"/>
        <v>3.988909144443821E-2</v>
      </c>
      <c r="CO68" s="73">
        <f t="shared" si="625"/>
        <v>9.4244999812045423E-3</v>
      </c>
      <c r="CP68" s="73">
        <f t="shared" si="626"/>
        <v>7.059307079419793E-5</v>
      </c>
      <c r="CQ68" s="73">
        <f t="shared" si="627"/>
        <v>2.2677414745688623E-3</v>
      </c>
      <c r="CR68" s="73"/>
      <c r="CS68" s="73">
        <f t="shared" ca="1" si="628"/>
        <v>0.68619594345125601</v>
      </c>
      <c r="CT68" s="73">
        <f t="shared" ca="1" si="629"/>
        <v>0.10985593265538138</v>
      </c>
      <c r="CU68" s="73">
        <f t="shared" ca="1" si="630"/>
        <v>1.2625359542471313</v>
      </c>
      <c r="CV68" s="73">
        <f t="shared" ca="1" si="631"/>
        <v>2.0585878303537686</v>
      </c>
      <c r="CW68" s="73">
        <f t="shared" ca="1" si="632"/>
        <v>0.33333333333333326</v>
      </c>
      <c r="CX68" s="73">
        <f t="shared" ca="1" si="633"/>
        <v>5.3364705180688171E-2</v>
      </c>
      <c r="CY68" s="73">
        <f t="shared" ca="1" si="634"/>
        <v>0.6133019614859786</v>
      </c>
      <c r="CZ68" s="73">
        <f t="shared" si="635"/>
        <v>0.43384740944728628</v>
      </c>
      <c r="DA68" s="73">
        <f t="shared" si="636"/>
        <v>0.39327010862850981</v>
      </c>
      <c r="DB68" s="73">
        <f t="shared" si="637"/>
        <v>-0.48629867447270564</v>
      </c>
      <c r="DC68" s="73"/>
      <c r="DD68" s="73">
        <f t="shared" ca="1" si="638"/>
        <v>1682.3264435833435</v>
      </c>
      <c r="DE68" s="73">
        <f t="shared" ca="1" si="639"/>
        <v>15467.895714890308</v>
      </c>
      <c r="DF68" s="73">
        <f t="shared" si="640"/>
        <v>7.9100394001913523</v>
      </c>
      <c r="DG68" s="73">
        <f t="shared" si="641"/>
        <v>1719.7013963866016</v>
      </c>
      <c r="DH68" s="73">
        <f t="shared" si="642"/>
        <v>1446.5513963866015</v>
      </c>
      <c r="DI68" s="73">
        <f t="shared" si="449"/>
        <v>13602.905801982104</v>
      </c>
      <c r="DJ68" s="73">
        <f t="shared" si="643"/>
        <v>7.9100394001913523</v>
      </c>
      <c r="DK68" s="73">
        <f t="shared" si="644"/>
        <v>1719.7013963866016</v>
      </c>
      <c r="DL68" s="73">
        <f t="shared" ca="1" si="645"/>
        <v>3.7729156038647131</v>
      </c>
      <c r="DM68" s="73">
        <f t="shared" si="646"/>
        <v>-0.48629867447270564</v>
      </c>
      <c r="DN68" s="73">
        <f t="shared" si="647"/>
        <v>0.43384740944728628</v>
      </c>
      <c r="DO68" s="73">
        <f t="shared" si="648"/>
        <v>0.39327010862850981</v>
      </c>
      <c r="DP68" s="73">
        <f t="shared" si="649"/>
        <v>2.3303124428289785</v>
      </c>
      <c r="DQ68" s="73">
        <f t="shared" ca="1" si="650"/>
        <v>15467.952182990322</v>
      </c>
      <c r="DR68" s="73">
        <f t="shared" si="651"/>
        <v>7.9098161730192169</v>
      </c>
      <c r="DS68" s="73">
        <f t="shared" ca="1" si="652"/>
        <v>1682.388769124912</v>
      </c>
      <c r="DT68" s="73">
        <f t="shared" si="653"/>
        <v>1446.6180872029222</v>
      </c>
      <c r="DU68" s="73">
        <f t="shared" ca="1" si="654"/>
        <v>1621.8857455038449</v>
      </c>
      <c r="DV68" s="76">
        <f t="shared" ca="1" si="655"/>
        <v>2.3748193366472448</v>
      </c>
      <c r="DW68" s="73">
        <f t="shared" ca="1" si="656"/>
        <v>2.862736112103609</v>
      </c>
      <c r="DX68" s="73">
        <f t="shared" ca="1" si="657"/>
        <v>4637.8499206169072</v>
      </c>
      <c r="DY68" s="73">
        <f t="shared" ca="1" si="658"/>
        <v>1620.0759479744365</v>
      </c>
      <c r="DZ68" s="73">
        <f t="shared" ca="1" si="659"/>
        <v>3.7869110778771078</v>
      </c>
      <c r="EA68" s="73"/>
      <c r="EB68" s="73">
        <f t="shared" si="660"/>
        <v>0.73306729560134587</v>
      </c>
      <c r="EC68" s="73">
        <f t="shared" si="661"/>
        <v>2.0561765899631823E-2</v>
      </c>
      <c r="ED68" s="73">
        <f t="shared" si="662"/>
        <v>0.10270781597111699</v>
      </c>
      <c r="EE68" s="73">
        <f t="shared" si="663"/>
        <v>0.16363542605315465</v>
      </c>
      <c r="EF68" s="73">
        <f t="shared" si="664"/>
        <v>2.2045692721079238E-3</v>
      </c>
      <c r="EG68" s="73">
        <f t="shared" si="665"/>
        <v>0.4813895781637717</v>
      </c>
      <c r="EH68" s="73">
        <f t="shared" si="666"/>
        <v>0.16147502970672442</v>
      </c>
      <c r="EI68" s="73">
        <f t="shared" si="667"/>
        <v>3.7177232324045073E-2</v>
      </c>
      <c r="EJ68" s="73">
        <f t="shared" si="668"/>
        <v>8.7837755298899693E-3</v>
      </c>
      <c r="EK68" s="73">
        <f t="shared" si="669"/>
        <v>6.5793802223830508E-5</v>
      </c>
      <c r="EL68" s="73">
        <f t="shared" si="670"/>
        <v>2.1135691137100184E-3</v>
      </c>
      <c r="EM68" s="73">
        <f t="shared" si="671"/>
        <v>1.7131818514377226</v>
      </c>
      <c r="EN68" s="73">
        <f t="shared" si="672"/>
        <v>0.42789812125674054</v>
      </c>
      <c r="EO68" s="73">
        <f t="shared" si="673"/>
        <v>1.2002091828357944E-2</v>
      </c>
      <c r="EP68" s="73">
        <f t="shared" si="674"/>
        <v>5.9951496617199958E-2</v>
      </c>
      <c r="EQ68" s="73">
        <f t="shared" si="675"/>
        <v>9.5515502873107047E-2</v>
      </c>
      <c r="ER68" s="73">
        <f t="shared" si="676"/>
        <v>1.2868273559271148E-3</v>
      </c>
      <c r="ES68" s="73">
        <f t="shared" si="677"/>
        <v>0.28099152332239791</v>
      </c>
      <c r="ET68" s="73">
        <f t="shared" si="678"/>
        <v>9.425445966008375E-2</v>
      </c>
      <c r="EU68" s="73">
        <f t="shared" si="679"/>
        <v>2.1700692365405047E-2</v>
      </c>
      <c r="EV68" s="73">
        <f t="shared" si="680"/>
        <v>5.127170546733565E-3</v>
      </c>
      <c r="EW68" s="73">
        <f t="shared" si="681"/>
        <v>3.8404447355437234E-5</v>
      </c>
      <c r="EX68" s="73">
        <f t="shared" si="682"/>
        <v>1.2337097266914695E-3</v>
      </c>
      <c r="EY68" s="73">
        <f t="shared" si="683"/>
        <v>0.99999999999999989</v>
      </c>
      <c r="EZ68" s="73">
        <f t="shared" si="684"/>
        <v>0.11019974342416705</v>
      </c>
      <c r="FA68" s="73">
        <f t="shared" si="685"/>
        <v>0.51450066458170785</v>
      </c>
      <c r="FB68" s="73">
        <f t="shared" si="686"/>
        <v>1.4381809059040533</v>
      </c>
      <c r="FC68" s="73">
        <f t="shared" si="687"/>
        <v>0.8183591534812753</v>
      </c>
      <c r="FD68" s="73">
        <f t="shared" si="688"/>
        <v>1.5905891086585986</v>
      </c>
      <c r="FE68" s="73">
        <f t="shared" ca="1" si="689"/>
        <v>0.17727063326321363</v>
      </c>
      <c r="FF68" s="73">
        <f t="shared" ca="1" si="690"/>
        <v>1.2500242037062841E-2</v>
      </c>
      <c r="FG68" s="73">
        <f t="shared" ca="1" si="691"/>
        <v>7.0515018798981366E-2</v>
      </c>
      <c r="FH68" s="73">
        <f t="shared" ca="1" si="692"/>
        <v>0.25095069760547684</v>
      </c>
      <c r="FI68" s="73">
        <f t="shared" ca="1" si="693"/>
        <v>8.7012122138644427E-2</v>
      </c>
      <c r="FJ68" s="73">
        <f t="shared" ca="1" si="694"/>
        <v>0.34672994723225448</v>
      </c>
      <c r="FK68" s="73">
        <f t="shared" ca="1" si="695"/>
        <v>8.7012122138644454E-2</v>
      </c>
      <c r="FL68" s="73">
        <f t="shared" ca="1" si="696"/>
        <v>8.7012122138644385E-2</v>
      </c>
      <c r="FM68" s="73"/>
      <c r="FN68" s="73"/>
      <c r="FO68" s="73"/>
      <c r="FP68" s="73">
        <f t="shared" ca="1" si="697"/>
        <v>1.8399058844579355</v>
      </c>
      <c r="FQ68" s="73">
        <f t="shared" ca="1" si="698"/>
        <v>0.16009411554206454</v>
      </c>
      <c r="FR68" s="73">
        <f t="shared" si="479"/>
        <v>0.33333333333333331</v>
      </c>
      <c r="FS68" s="73">
        <f t="shared" ca="1" si="699"/>
        <v>5.3364705180688178E-2</v>
      </c>
      <c r="FT68" s="73">
        <f t="shared" ca="1" si="700"/>
        <v>0.61330196148597849</v>
      </c>
      <c r="FU68" s="73">
        <f t="shared" si="701"/>
        <v>20.026666666666664</v>
      </c>
      <c r="FV68" s="73">
        <f t="shared" ca="1" si="702"/>
        <v>3.8342540672324454</v>
      </c>
      <c r="FW68" s="73">
        <f t="shared" ca="1" si="703"/>
        <v>24.716069047884933</v>
      </c>
      <c r="FX68" s="73">
        <f t="shared" ca="1" si="704"/>
        <v>48.576989781784043</v>
      </c>
      <c r="FY68" s="73">
        <f t="shared" ca="1" si="705"/>
        <v>41.226652282551463</v>
      </c>
      <c r="FZ68" s="73">
        <f t="shared" ca="1" si="706"/>
        <v>7.8931487612891518</v>
      </c>
      <c r="GA68" s="73">
        <f t="shared" ca="1" si="707"/>
        <v>50.880198956159383</v>
      </c>
      <c r="GB68" s="73">
        <f t="shared" ca="1" si="708"/>
        <v>91.995294222896774</v>
      </c>
      <c r="GC68" s="73">
        <f t="shared" ca="1" si="709"/>
        <v>3772915603.8647132</v>
      </c>
      <c r="GD68" s="2">
        <f t="shared" si="152"/>
        <v>38</v>
      </c>
      <c r="GE68">
        <f t="shared" ca="1" si="710"/>
        <v>1548.9033955232221</v>
      </c>
      <c r="GF68">
        <f t="shared" ca="1" si="711"/>
        <v>1548.765594200187</v>
      </c>
      <c r="GG68">
        <f t="shared" ca="1" si="712"/>
        <v>1863.6085294591733</v>
      </c>
      <c r="GH68" s="2">
        <f t="shared" ca="1" si="713"/>
        <v>0.4128821534329486</v>
      </c>
      <c r="GI68" s="2">
        <f t="shared" ca="1" si="714"/>
        <v>1.0555794876328566</v>
      </c>
      <c r="GJ68" s="2">
        <f t="shared" ca="1" si="715"/>
        <v>-1.3158922745893844</v>
      </c>
      <c r="GK68" s="2">
        <f t="shared" ca="1" si="716"/>
        <v>1.2655398713526624</v>
      </c>
      <c r="GL68" s="2">
        <f t="shared" ca="1" si="717"/>
        <v>-0.4128821534329486</v>
      </c>
      <c r="GM68">
        <f t="shared" ca="1" si="718"/>
        <v>0.34659576369382533</v>
      </c>
      <c r="GN68">
        <f t="shared" ca="1" si="719"/>
        <v>4.1636071972452268E-2</v>
      </c>
      <c r="GO68">
        <f t="shared" ca="1" si="720"/>
        <v>-0.14454676100587838</v>
      </c>
      <c r="GP68">
        <f t="shared" ca="1" si="721"/>
        <v>-0.1631249092893623</v>
      </c>
      <c r="GQ68">
        <f t="shared" ca="1" si="722"/>
        <v>0.278031405549372</v>
      </c>
      <c r="GR68">
        <f t="shared" ca="1" si="723"/>
        <v>0.12012862341050599</v>
      </c>
      <c r="GS68">
        <f t="shared" ca="1" si="724"/>
        <v>6.0214220255936188E-2</v>
      </c>
      <c r="GT68">
        <f t="shared" ca="1" si="725"/>
        <v>3.9370356389472521E-3</v>
      </c>
      <c r="GU68">
        <f t="shared" ca="1" si="726"/>
        <v>0.52797675463485649</v>
      </c>
      <c r="GV68">
        <f t="shared" ca="1" si="727"/>
        <v>-0.29907146622026948</v>
      </c>
      <c r="GW68">
        <f t="shared" ca="1" si="728"/>
        <v>0.57550105210841229</v>
      </c>
      <c r="GY68" s="15">
        <f t="shared" si="729"/>
        <v>0.19429895067798694</v>
      </c>
      <c r="GZ68" s="2">
        <f t="shared" si="730"/>
        <v>7.1991992892913345E-2</v>
      </c>
      <c r="HA68" s="2">
        <f t="shared" si="731"/>
        <v>2.5224773624060309E-3</v>
      </c>
      <c r="HB68" s="2">
        <f t="shared" si="732"/>
        <v>0.26881342093330629</v>
      </c>
      <c r="HC68" s="2">
        <f t="shared" si="733"/>
        <v>0.7228022693338414</v>
      </c>
      <c r="HD68" s="2">
        <f t="shared" si="734"/>
        <v>0.26781398280993884</v>
      </c>
      <c r="HE68" s="2">
        <f t="shared" si="735"/>
        <v>9.3837478562198273E-3</v>
      </c>
      <c r="HF68" s="2">
        <f t="shared" si="736"/>
        <v>2.396369792524653</v>
      </c>
      <c r="HG68" s="2">
        <f t="shared" si="737"/>
        <v>-1.2099957201060754</v>
      </c>
      <c r="HH68" s="2">
        <f t="shared" si="738"/>
        <v>0.59318703620928881</v>
      </c>
      <c r="HI68" s="2">
        <f t="shared" si="739"/>
        <v>0.82068140144279211</v>
      </c>
      <c r="HJ68" s="2">
        <f t="shared" si="740"/>
        <v>0.13596017662651402</v>
      </c>
      <c r="HK68" s="2">
        <f t="shared" si="741"/>
        <v>0.34335935806143053</v>
      </c>
      <c r="HL68" s="2">
        <f t="shared" si="742"/>
        <v>0.68213489116863346</v>
      </c>
    </row>
    <row r="69" spans="1:220" ht="20.25">
      <c r="A69" s="295" t="s">
        <v>321</v>
      </c>
      <c r="B69" s="77">
        <v>3500</v>
      </c>
      <c r="C69" s="95">
        <f t="shared" ca="1" si="554"/>
        <v>-3.2880341699759996</v>
      </c>
      <c r="D69" s="70">
        <f t="shared" ca="1" si="555"/>
        <v>-3.1360947257874114</v>
      </c>
      <c r="E69" s="71">
        <f t="shared" ca="1" si="556"/>
        <v>-3.2880341699759983</v>
      </c>
      <c r="F69" s="324">
        <v>47.165069550644233</v>
      </c>
      <c r="G69" s="324">
        <v>1.6380766143162322</v>
      </c>
      <c r="H69" s="324">
        <v>8.9906330789326194</v>
      </c>
      <c r="I69" s="324">
        <v>11.561977864474127</v>
      </c>
      <c r="J69" s="324">
        <v>0.18371650357363756</v>
      </c>
      <c r="K69" s="324">
        <v>21.4</v>
      </c>
      <c r="L69" s="324">
        <v>7.3373014356828827</v>
      </c>
      <c r="M69" s="324">
        <v>1.3968723128466016</v>
      </c>
      <c r="N69" s="327">
        <v>0.20473653661424981</v>
      </c>
      <c r="O69" s="328">
        <v>0.01</v>
      </c>
      <c r="P69" s="329"/>
      <c r="Q69" s="84"/>
      <c r="R69" s="72">
        <f t="shared" si="557"/>
        <v>99.888383897084594</v>
      </c>
      <c r="S69" s="106">
        <f t="shared" ca="1" si="558"/>
        <v>2.9590637190932951</v>
      </c>
      <c r="T69" s="104">
        <f t="shared" ca="1" si="559"/>
        <v>0.3506540338502353</v>
      </c>
      <c r="U69" s="107">
        <f t="shared" ca="1" si="560"/>
        <v>1634.7749838340787</v>
      </c>
      <c r="V69" s="107">
        <f t="shared" ca="1" si="561"/>
        <v>1593.3242061481005</v>
      </c>
      <c r="W69" s="105">
        <f t="shared" ca="1" si="562"/>
        <v>1599.8181760434004</v>
      </c>
      <c r="X69" s="102">
        <f t="shared" ca="1" si="563"/>
        <v>1762.2923701715345</v>
      </c>
      <c r="Y69" s="102">
        <f t="shared" ca="1" si="564"/>
        <v>1669.8954536412325</v>
      </c>
      <c r="Z69" s="103">
        <f t="shared" ca="1" si="565"/>
        <v>1723.2988435587133</v>
      </c>
      <c r="AA69" s="103">
        <f t="shared" ca="1" si="566"/>
        <v>1695.3155347174302</v>
      </c>
      <c r="AB69" s="103">
        <f t="shared" ca="1" si="567"/>
        <v>54.172565010545512</v>
      </c>
      <c r="AC69" s="4">
        <v>13.3</v>
      </c>
      <c r="AD69" s="273">
        <f t="shared" ca="1" si="568"/>
        <v>12.428981760156656</v>
      </c>
      <c r="AE69" s="3">
        <f t="shared" ca="1" si="569"/>
        <v>118.28938954204411</v>
      </c>
      <c r="AF69" s="3">
        <f t="shared" ca="1" si="570"/>
        <v>214.05878701623939</v>
      </c>
      <c r="AG69" s="2">
        <f t="shared" ca="1" si="571"/>
        <v>552.60235373131491</v>
      </c>
      <c r="AH69" s="2">
        <f t="shared" ca="1" si="572"/>
        <v>138.76947756108117</v>
      </c>
      <c r="AI69" s="87">
        <f t="shared" si="573"/>
        <v>0.40556990272732374</v>
      </c>
      <c r="AJ69" s="87">
        <f t="shared" ca="1" si="574"/>
        <v>2.9590637190932951</v>
      </c>
      <c r="AK69" s="87">
        <f t="shared" ca="1" si="575"/>
        <v>0.28740547458735494</v>
      </c>
      <c r="AL69" s="86">
        <f t="shared" ca="1" si="576"/>
        <v>0.27800183714375443</v>
      </c>
      <c r="AM69" s="87">
        <f t="shared" ca="1" si="577"/>
        <v>0.3506540338502353</v>
      </c>
      <c r="AN69" s="87">
        <f t="shared" ca="1" si="578"/>
        <v>0.35065403385023525</v>
      </c>
      <c r="AO69" s="96">
        <f t="shared" ca="1" si="579"/>
        <v>41.26860487127383</v>
      </c>
      <c r="AP69" s="96">
        <f t="shared" ca="1" si="580"/>
        <v>7.6694371071301459</v>
      </c>
      <c r="AQ69" s="96">
        <f t="shared" ca="1" si="581"/>
        <v>51.06195802159602</v>
      </c>
      <c r="AR69" s="73"/>
      <c r="AS69" s="53">
        <f t="shared" ca="1" si="138"/>
        <v>80.628831227683577</v>
      </c>
      <c r="AT69" s="68">
        <f t="shared" ca="1" si="582"/>
        <v>92.230074424715141</v>
      </c>
      <c r="AU69" s="74">
        <f t="shared" ca="1" si="583"/>
        <v>0.35065403385023525</v>
      </c>
      <c r="AV69" s="68">
        <f t="shared" si="584"/>
        <v>2.1255816298663377</v>
      </c>
      <c r="AW69" s="68">
        <f t="shared" ca="1" si="585"/>
        <v>2.1500084359227314</v>
      </c>
      <c r="AX69" s="69">
        <f t="shared" ca="1" si="586"/>
        <v>1643.5627410322868</v>
      </c>
      <c r="AY69" s="69">
        <f t="shared" ca="1" si="587"/>
        <v>1634.7749838340792</v>
      </c>
      <c r="AZ69" s="69">
        <f t="shared" ca="1" si="588"/>
        <v>1593.3242061481008</v>
      </c>
      <c r="BA69" s="75"/>
      <c r="BB69" s="74">
        <f t="shared" ca="1" si="589"/>
        <v>0.2511199538403579</v>
      </c>
      <c r="BC69" s="74">
        <f t="shared" ca="1" si="590"/>
        <v>1.7640764112773353E-2</v>
      </c>
      <c r="BD69" s="68">
        <f t="shared" si="591"/>
        <v>0.17192168909546618</v>
      </c>
      <c r="BE69" s="68">
        <f t="shared" ca="1" si="592"/>
        <v>0.30894811135603562</v>
      </c>
      <c r="BF69" s="68">
        <f t="shared" ca="1" si="593"/>
        <v>0.23960971141280282</v>
      </c>
      <c r="BH69" s="68">
        <f t="shared" ca="1" si="594"/>
        <v>0.22437691215051309</v>
      </c>
      <c r="BI69" s="68">
        <f t="shared" ca="1" si="595"/>
        <v>0.28400030349712696</v>
      </c>
      <c r="BK69" s="53">
        <f t="shared" ca="1" si="596"/>
        <v>0.61146313532888441</v>
      </c>
      <c r="BL69" s="53">
        <f t="shared" si="597"/>
        <v>0.21939021105667461</v>
      </c>
      <c r="BM69" s="53">
        <f t="shared" si="598"/>
        <v>0.36144779683204076</v>
      </c>
      <c r="BN69" s="53">
        <f t="shared" si="599"/>
        <v>0.36400477927188613</v>
      </c>
      <c r="BO69" s="53">
        <f t="shared" si="600"/>
        <v>0.46759590699535547</v>
      </c>
      <c r="BP69" s="53">
        <f t="shared" si="601"/>
        <v>0.44716400660255484</v>
      </c>
      <c r="BQ69" s="54">
        <f t="shared" si="602"/>
        <v>1468.8863999999999</v>
      </c>
      <c r="BR69" s="262">
        <f t="shared" si="603"/>
        <v>5.737575420844764</v>
      </c>
      <c r="BS69" s="54">
        <f t="shared" si="604"/>
        <v>1714.0949621538475</v>
      </c>
      <c r="BT69" s="67"/>
      <c r="BU69" s="73">
        <f t="shared" si="605"/>
        <v>0.78503777547676823</v>
      </c>
      <c r="BV69" s="73">
        <f t="shared" si="606"/>
        <v>2.0501584659777625E-2</v>
      </c>
      <c r="BW69" s="73">
        <f t="shared" si="607"/>
        <v>0.17635608236431188</v>
      </c>
      <c r="BX69" s="73">
        <f t="shared" si="608"/>
        <v>0.16091827229609085</v>
      </c>
      <c r="BY69" s="73">
        <f t="shared" si="609"/>
        <v>2.5897449051823732E-3</v>
      </c>
      <c r="BZ69" s="73">
        <f t="shared" si="610"/>
        <v>0.53101736972704716</v>
      </c>
      <c r="CA69" s="73">
        <f t="shared" si="611"/>
        <v>0.13083633087879606</v>
      </c>
      <c r="CB69" s="73">
        <f t="shared" si="612"/>
        <v>4.5074937491016515E-2</v>
      </c>
      <c r="CC69" s="73">
        <f t="shared" si="613"/>
        <v>4.3468479111305695E-3</v>
      </c>
      <c r="CD69" s="73">
        <f t="shared" si="614"/>
        <v>1.3158760444766102E-4</v>
      </c>
      <c r="CE69" s="73">
        <f t="shared" si="615"/>
        <v>0</v>
      </c>
      <c r="CF69" s="73">
        <f t="shared" si="616"/>
        <v>1.8568105333145688</v>
      </c>
      <c r="CG69" s="73">
        <f t="shared" si="617"/>
        <v>0.42278830359466313</v>
      </c>
      <c r="CH69" s="73">
        <f t="shared" si="618"/>
        <v>1.1041290585087595E-2</v>
      </c>
      <c r="CI69" s="73">
        <f t="shared" si="619"/>
        <v>9.4977963125565043E-2</v>
      </c>
      <c r="CJ69" s="73">
        <f t="shared" si="620"/>
        <v>8.6663808400977607E-2</v>
      </c>
      <c r="CK69" s="73">
        <f t="shared" si="621"/>
        <v>1.3947276034455992E-3</v>
      </c>
      <c r="CL69" s="73">
        <f t="shared" si="622"/>
        <v>0.28598360478876367</v>
      </c>
      <c r="CM69" s="73">
        <f t="shared" si="623"/>
        <v>7.0462940903960616E-2</v>
      </c>
      <c r="CN69" s="73">
        <f t="shared" si="624"/>
        <v>2.4275464126409182E-2</v>
      </c>
      <c r="CO69" s="73">
        <f t="shared" si="625"/>
        <v>2.3410293259006165E-3</v>
      </c>
      <c r="CP69" s="73">
        <f t="shared" si="626"/>
        <v>7.0867545227011215E-5</v>
      </c>
      <c r="CQ69" s="73">
        <f t="shared" si="627"/>
        <v>0</v>
      </c>
      <c r="CR69" s="73"/>
      <c r="CS69" s="73">
        <f t="shared" ca="1" si="628"/>
        <v>0.68689422222493057</v>
      </c>
      <c r="CT69" s="73">
        <f t="shared" ca="1" si="629"/>
        <v>0.1067423396956179</v>
      </c>
      <c r="CU69" s="73">
        <f t="shared" ca="1" si="630"/>
        <v>1.2670461047542438</v>
      </c>
      <c r="CV69" s="73">
        <f t="shared" ca="1" si="631"/>
        <v>2.0606826666747922</v>
      </c>
      <c r="CW69" s="73">
        <f t="shared" ca="1" si="632"/>
        <v>0.33333333333333326</v>
      </c>
      <c r="CX69" s="73">
        <f t="shared" ca="1" si="633"/>
        <v>5.1799503835232436E-2</v>
      </c>
      <c r="CY69" s="73">
        <f t="shared" ca="1" si="634"/>
        <v>0.61486716283143439</v>
      </c>
      <c r="CZ69" s="73">
        <f t="shared" si="635"/>
        <v>0.44450508169714747</v>
      </c>
      <c r="DA69" s="73">
        <f t="shared" si="636"/>
        <v>0.42278830359466313</v>
      </c>
      <c r="DB69" s="73">
        <f t="shared" si="637"/>
        <v>-0.42700483549369572</v>
      </c>
      <c r="DC69" s="73"/>
      <c r="DD69" s="73">
        <f t="shared" ca="1" si="638"/>
        <v>1643.5627410322868</v>
      </c>
      <c r="DE69" s="73">
        <f t="shared" ca="1" si="639"/>
        <v>15065.589926569981</v>
      </c>
      <c r="DF69" s="73">
        <f t="shared" si="640"/>
        <v>7.8601188399551631</v>
      </c>
      <c r="DG69" s="73">
        <f t="shared" si="641"/>
        <v>1730.6234268157325</v>
      </c>
      <c r="DH69" s="73">
        <f t="shared" si="642"/>
        <v>1457.4734268157326</v>
      </c>
      <c r="DI69" s="73">
        <f t="shared" si="449"/>
        <v>13602.905801982104</v>
      </c>
      <c r="DJ69" s="73">
        <f t="shared" si="643"/>
        <v>7.8601188399551631</v>
      </c>
      <c r="DK69" s="73">
        <f t="shared" si="644"/>
        <v>1730.6234268157325</v>
      </c>
      <c r="DL69" s="73">
        <f t="shared" ca="1" si="645"/>
        <v>2.9590637190932951</v>
      </c>
      <c r="DM69" s="73">
        <f t="shared" si="646"/>
        <v>-0.42700483549369572</v>
      </c>
      <c r="DN69" s="73">
        <f t="shared" si="647"/>
        <v>0.44450508169714747</v>
      </c>
      <c r="DO69" s="73">
        <f t="shared" si="648"/>
        <v>0.42278830359466313</v>
      </c>
      <c r="DP69" s="73">
        <f t="shared" si="649"/>
        <v>2.1255816298663377</v>
      </c>
      <c r="DQ69" s="73">
        <f t="shared" ca="1" si="650"/>
        <v>15065.665196347811</v>
      </c>
      <c r="DR69" s="73">
        <f t="shared" si="651"/>
        <v>7.8598956127830277</v>
      </c>
      <c r="DS69" s="73">
        <f t="shared" ca="1" si="652"/>
        <v>1643.6267536054297</v>
      </c>
      <c r="DT69" s="73">
        <f t="shared" si="653"/>
        <v>1457.5408513996708</v>
      </c>
      <c r="DU69" s="73">
        <f t="shared" ca="1" si="654"/>
        <v>1599.8181760434004</v>
      </c>
      <c r="DV69" s="76">
        <f t="shared" ca="1" si="655"/>
        <v>2.1500084359227314</v>
      </c>
      <c r="DW69" s="73">
        <f t="shared" ca="1" si="656"/>
        <v>2.8415494731669426</v>
      </c>
      <c r="DX69" s="73">
        <f t="shared" ca="1" si="657"/>
        <v>4593.0148202848495</v>
      </c>
      <c r="DY69" s="73">
        <f t="shared" ca="1" si="658"/>
        <v>1616.3768618696181</v>
      </c>
      <c r="DZ69" s="73">
        <f t="shared" ca="1" si="659"/>
        <v>3.3065773149644304</v>
      </c>
      <c r="EA69" s="73"/>
      <c r="EB69" s="73">
        <f t="shared" si="660"/>
        <v>0.78503777547676823</v>
      </c>
      <c r="EC69" s="73">
        <f t="shared" si="661"/>
        <v>2.0501584659777625E-2</v>
      </c>
      <c r="ED69" s="73">
        <f t="shared" si="662"/>
        <v>8.8178041182155942E-2</v>
      </c>
      <c r="EE69" s="73">
        <f t="shared" si="663"/>
        <v>0.16091827229609085</v>
      </c>
      <c r="EF69" s="73">
        <f t="shared" si="664"/>
        <v>2.5897449051823732E-3</v>
      </c>
      <c r="EG69" s="73">
        <f t="shared" si="665"/>
        <v>0.53101736972704716</v>
      </c>
      <c r="EH69" s="73">
        <f t="shared" si="666"/>
        <v>0.13083633087879606</v>
      </c>
      <c r="EI69" s="73">
        <f t="shared" si="667"/>
        <v>2.2537468745508257E-2</v>
      </c>
      <c r="EJ69" s="73">
        <f t="shared" si="668"/>
        <v>2.1734239555652847E-3</v>
      </c>
      <c r="EK69" s="73">
        <f t="shared" si="669"/>
        <v>6.5793802223830508E-5</v>
      </c>
      <c r="EL69" s="73">
        <f t="shared" si="670"/>
        <v>0</v>
      </c>
      <c r="EM69" s="73">
        <f t="shared" si="671"/>
        <v>1.7438558056291156</v>
      </c>
      <c r="EN69" s="73">
        <f t="shared" si="672"/>
        <v>0.45017355961581756</v>
      </c>
      <c r="EO69" s="73">
        <f t="shared" si="673"/>
        <v>1.175646781895562E-2</v>
      </c>
      <c r="EP69" s="73">
        <f t="shared" si="674"/>
        <v>5.0564984156098114E-2</v>
      </c>
      <c r="EQ69" s="73">
        <f t="shared" si="675"/>
        <v>9.2277281055378191E-2</v>
      </c>
      <c r="ER69" s="73">
        <f t="shared" si="676"/>
        <v>1.4850682589826248E-3</v>
      </c>
      <c r="ES69" s="73">
        <f t="shared" si="677"/>
        <v>0.30450761353830896</v>
      </c>
      <c r="ET69" s="73">
        <f t="shared" si="678"/>
        <v>7.5027035180580987E-2</v>
      </c>
      <c r="EU69" s="73">
        <f t="shared" si="679"/>
        <v>1.2923929073010491E-2</v>
      </c>
      <c r="EV69" s="73">
        <f t="shared" si="680"/>
        <v>1.2463323794028932E-3</v>
      </c>
      <c r="EW69" s="73">
        <f t="shared" si="681"/>
        <v>3.7728923464572032E-5</v>
      </c>
      <c r="EX69" s="73">
        <f t="shared" si="682"/>
        <v>0</v>
      </c>
      <c r="EY69" s="73">
        <f t="shared" si="683"/>
        <v>1</v>
      </c>
      <c r="EZ69" s="73">
        <f t="shared" si="684"/>
        <v>9.4977963125565043E-2</v>
      </c>
      <c r="FA69" s="73">
        <f t="shared" si="685"/>
        <v>0.5288075573053157</v>
      </c>
      <c r="FB69" s="73">
        <f t="shared" si="686"/>
        <v>1.468045762788992</v>
      </c>
      <c r="FC69" s="73">
        <f t="shared" si="687"/>
        <v>0.82086129635672123</v>
      </c>
      <c r="FD69" s="73">
        <f t="shared" si="688"/>
        <v>1.5522873775474118</v>
      </c>
      <c r="FE69" s="73">
        <f t="shared" ca="1" si="689"/>
        <v>0.13066855502273605</v>
      </c>
      <c r="FF69" s="73">
        <f t="shared" ca="1" si="690"/>
        <v>9.5594895931496657E-3</v>
      </c>
      <c r="FG69" s="73">
        <f t="shared" ca="1" si="691"/>
        <v>7.3158301869078859E-2</v>
      </c>
      <c r="FH69" s="73">
        <f t="shared" ca="1" si="692"/>
        <v>0.24025114189755747</v>
      </c>
      <c r="FI69" s="73">
        <f t="shared" ca="1" si="693"/>
        <v>8.4245032043503768E-2</v>
      </c>
      <c r="FJ69" s="73">
        <f t="shared" ca="1" si="694"/>
        <v>0.35065403385023514</v>
      </c>
      <c r="FK69" s="73">
        <f t="shared" ca="1" si="695"/>
        <v>8.4245032043503768E-2</v>
      </c>
      <c r="FL69" s="73">
        <f t="shared" ca="1" si="696"/>
        <v>8.4245032043503809E-2</v>
      </c>
      <c r="FM69" s="73"/>
      <c r="FN69" s="73"/>
      <c r="FO69" s="73"/>
      <c r="FP69" s="73">
        <f t="shared" ca="1" si="697"/>
        <v>1.8446014884943027</v>
      </c>
      <c r="FQ69" s="73">
        <f t="shared" ca="1" si="698"/>
        <v>0.15539851150569728</v>
      </c>
      <c r="FR69" s="73">
        <f t="shared" si="479"/>
        <v>0.33333333333333331</v>
      </c>
      <c r="FS69" s="73">
        <f t="shared" ca="1" si="699"/>
        <v>5.1799503835232429E-2</v>
      </c>
      <c r="FT69" s="73">
        <f t="shared" ca="1" si="700"/>
        <v>0.61486716283143428</v>
      </c>
      <c r="FU69" s="73">
        <f t="shared" si="701"/>
        <v>20.026666666666664</v>
      </c>
      <c r="FV69" s="73">
        <f t="shared" ca="1" si="702"/>
        <v>3.7217943505614497</v>
      </c>
      <c r="FW69" s="73">
        <f t="shared" ca="1" si="703"/>
        <v>24.7791466621068</v>
      </c>
      <c r="FX69" s="73">
        <f t="shared" ca="1" si="704"/>
        <v>48.527607679334913</v>
      </c>
      <c r="FY69" s="73">
        <f t="shared" ca="1" si="705"/>
        <v>41.26860487127383</v>
      </c>
      <c r="FZ69" s="73">
        <f t="shared" ca="1" si="706"/>
        <v>7.6694371071301459</v>
      </c>
      <c r="GA69" s="73">
        <f t="shared" ca="1" si="707"/>
        <v>51.06195802159602</v>
      </c>
      <c r="GB69" s="73">
        <f t="shared" ca="1" si="708"/>
        <v>92.230074424715127</v>
      </c>
      <c r="GC69" s="73">
        <f t="shared" ca="1" si="709"/>
        <v>2959063719.0932951</v>
      </c>
      <c r="GD69" s="2">
        <f t="shared" si="152"/>
        <v>38</v>
      </c>
      <c r="GE69">
        <f t="shared" ca="1" si="710"/>
        <v>1468.9070410417248</v>
      </c>
      <c r="GF69">
        <f t="shared" ca="1" si="711"/>
        <v>1468.5686477574877</v>
      </c>
      <c r="GG69">
        <f t="shared" ca="1" si="712"/>
        <v>1822.6247396838262</v>
      </c>
      <c r="GH69" s="2">
        <f t="shared" ca="1" si="713"/>
        <v>0.4694350411323252</v>
      </c>
      <c r="GI69" s="2">
        <f t="shared" ca="1" si="714"/>
        <v>1.3013627568338246</v>
      </c>
      <c r="GJ69" s="2">
        <f t="shared" ca="1" si="715"/>
        <v>-1.7814155526786355</v>
      </c>
      <c r="GK69" s="2">
        <f t="shared" ca="1" si="716"/>
        <v>1.4860937321257168</v>
      </c>
      <c r="GL69" s="2">
        <f t="shared" ca="1" si="717"/>
        <v>-0.4694350411323252</v>
      </c>
      <c r="GM69">
        <f t="shared" ca="1" si="718"/>
        <v>0.39957451632396668</v>
      </c>
      <c r="GN69">
        <f t="shared" ca="1" si="719"/>
        <v>6.3795985002106287E-2</v>
      </c>
      <c r="GO69">
        <f t="shared" ca="1" si="720"/>
        <v>-0.17495242153403767</v>
      </c>
      <c r="GP69">
        <f t="shared" ca="1" si="721"/>
        <v>-0.15794260852605935</v>
      </c>
      <c r="GQ69">
        <f t="shared" ca="1" si="722"/>
        <v>0.2918978636635407</v>
      </c>
      <c r="GR69">
        <f t="shared" ca="1" si="723"/>
        <v>0.15965979409553194</v>
      </c>
      <c r="GS69">
        <f t="shared" ca="1" si="724"/>
        <v>4.6786171994127962E-2</v>
      </c>
      <c r="GT69">
        <f t="shared" ca="1" si="725"/>
        <v>2.3124348300912595E-3</v>
      </c>
      <c r="GU69">
        <f t="shared" ca="1" si="726"/>
        <v>0.48470843964675009</v>
      </c>
      <c r="GV69">
        <f t="shared" ca="1" si="727"/>
        <v>-0.27281982064183236</v>
      </c>
      <c r="GW69">
        <f t="shared" ca="1" si="728"/>
        <v>0.61146313532888441</v>
      </c>
      <c r="GY69" s="15">
        <f t="shared" si="729"/>
        <v>0.20183455470596262</v>
      </c>
      <c r="GZ69" s="2">
        <f t="shared" si="730"/>
        <v>6.2359180898518302E-2</v>
      </c>
      <c r="HA69" s="2">
        <f t="shared" si="731"/>
        <v>7.4424881659798381E-2</v>
      </c>
      <c r="HB69" s="2">
        <f t="shared" si="732"/>
        <v>0.33861861726427928</v>
      </c>
      <c r="HC69" s="2">
        <f t="shared" si="733"/>
        <v>0.59605274020842813</v>
      </c>
      <c r="HD69" s="2">
        <f t="shared" si="734"/>
        <v>0.18415756759720411</v>
      </c>
      <c r="HE69" s="2">
        <f t="shared" si="735"/>
        <v>0.21978969219436781</v>
      </c>
      <c r="HF69" s="2">
        <f t="shared" si="736"/>
        <v>-1.3129312324249685</v>
      </c>
      <c r="HG69" s="2">
        <f t="shared" si="737"/>
        <v>-1.3120200666482269</v>
      </c>
      <c r="HH69" s="2">
        <f t="shared" si="738"/>
        <v>-1.3124756495365977</v>
      </c>
      <c r="HI69" s="2">
        <f t="shared" si="739"/>
        <v>2.5005808815430459</v>
      </c>
      <c r="HJ69" s="2">
        <f t="shared" si="740"/>
        <v>0.1726129813253125</v>
      </c>
      <c r="HK69" s="2">
        <f t="shared" si="741"/>
        <v>0.34667134247532533</v>
      </c>
      <c r="HL69" s="2">
        <f t="shared" si="742"/>
        <v>0.69365294537041333</v>
      </c>
    </row>
    <row r="70" spans="1:220" ht="20.25">
      <c r="A70" s="296" t="s">
        <v>322</v>
      </c>
      <c r="B70" s="77">
        <v>3500</v>
      </c>
      <c r="C70" s="95">
        <f t="shared" ca="1" si="554"/>
        <v>-4.0605391670396793</v>
      </c>
      <c r="D70" s="70">
        <f t="shared" ca="1" si="555"/>
        <v>-4.0381579219650092</v>
      </c>
      <c r="E70" s="71">
        <f t="shared" ca="1" si="556"/>
        <v>-4.0605391670396793</v>
      </c>
      <c r="F70" s="296">
        <v>47.231448301077975</v>
      </c>
      <c r="G70" s="296">
        <v>0.71881653346069019</v>
      </c>
      <c r="H70" s="296">
        <v>12.317363542801209</v>
      </c>
      <c r="I70" s="296">
        <v>9.33868085575455</v>
      </c>
      <c r="J70" s="296">
        <v>0.16356675874663054</v>
      </c>
      <c r="K70" s="296">
        <v>18.2</v>
      </c>
      <c r="L70" s="296">
        <v>10.52761512200407</v>
      </c>
      <c r="M70" s="296">
        <v>1.3986110668587941</v>
      </c>
      <c r="N70" s="296">
        <v>9.7784449362742873E-2</v>
      </c>
      <c r="O70" s="328">
        <v>0.01</v>
      </c>
      <c r="P70" s="329"/>
      <c r="Q70" s="84"/>
      <c r="R70" s="72">
        <f t="shared" si="557"/>
        <v>100.00388663006666</v>
      </c>
      <c r="S70" s="106">
        <f t="shared" ca="1" si="558"/>
        <v>2.4338398029362835</v>
      </c>
      <c r="T70" s="104">
        <f t="shared" ca="1" si="559"/>
        <v>0.34673650974281384</v>
      </c>
      <c r="U70" s="107">
        <f t="shared" ca="1" si="560"/>
        <v>1537.5130032772026</v>
      </c>
      <c r="V70" s="107">
        <f t="shared" ca="1" si="561"/>
        <v>1509.5032329203764</v>
      </c>
      <c r="W70" s="105">
        <f t="shared" ca="1" si="562"/>
        <v>1513.8819291354325</v>
      </c>
      <c r="X70" s="102">
        <f t="shared" ca="1" si="563"/>
        <v>1677.8486083283806</v>
      </c>
      <c r="Y70" s="102">
        <f t="shared" ca="1" si="564"/>
        <v>1597.4455434693064</v>
      </c>
      <c r="Z70" s="103">
        <f t="shared" ca="1" si="565"/>
        <v>1627.9271892618392</v>
      </c>
      <c r="AA70" s="103">
        <f t="shared" ca="1" si="566"/>
        <v>1598.6914658287731</v>
      </c>
      <c r="AB70" s="103">
        <f t="shared" ca="1" si="567"/>
        <v>50.023822322468803</v>
      </c>
      <c r="AC70" s="4">
        <v>13.3</v>
      </c>
      <c r="AD70" s="273">
        <f t="shared" ca="1" si="568"/>
        <v>11.809110314892276</v>
      </c>
      <c r="AE70" s="3">
        <f t="shared" ca="1" si="569"/>
        <v>112.55728267940131</v>
      </c>
      <c r="AF70" s="3">
        <f t="shared" ca="1" si="570"/>
        <v>213.4427091558114</v>
      </c>
      <c r="AG70" s="2">
        <f t="shared" ca="1" si="571"/>
        <v>527.34189480904422</v>
      </c>
      <c r="AH70" s="2">
        <f t="shared" ca="1" si="572"/>
        <v>117.92971563004664</v>
      </c>
      <c r="AI70" s="87">
        <f t="shared" si="573"/>
        <v>0.36725627508007658</v>
      </c>
      <c r="AJ70" s="87">
        <f t="shared" ca="1" si="574"/>
        <v>2.4338398029362778</v>
      </c>
      <c r="AK70" s="87">
        <f t="shared" ca="1" si="575"/>
        <v>0.28589623247297419</v>
      </c>
      <c r="AL70" s="86">
        <f t="shared" ca="1" si="576"/>
        <v>0.27698911972172624</v>
      </c>
      <c r="AM70" s="87">
        <f t="shared" ca="1" si="577"/>
        <v>0.34673650974281384</v>
      </c>
      <c r="AN70" s="87">
        <f t="shared" ca="1" si="578"/>
        <v>0.34673650974281384</v>
      </c>
      <c r="AO70" s="96">
        <f t="shared" ca="1" si="579"/>
        <v>41.337894099031608</v>
      </c>
      <c r="AP70" s="96">
        <f t="shared" ca="1" si="580"/>
        <v>7.2999531675412799</v>
      </c>
      <c r="AQ70" s="96">
        <f t="shared" ca="1" si="581"/>
        <v>51.362152733427116</v>
      </c>
      <c r="AR70" s="73"/>
      <c r="AS70" s="53">
        <f t="shared" ca="1" si="138"/>
        <v>81.306842952139164</v>
      </c>
      <c r="AT70" s="68">
        <f t="shared" ca="1" si="582"/>
        <v>92.616795775606221</v>
      </c>
      <c r="AU70" s="74">
        <f t="shared" ca="1" si="583"/>
        <v>0.34673650974281384</v>
      </c>
      <c r="AV70" s="68">
        <f t="shared" si="584"/>
        <v>2.5098228463931522</v>
      </c>
      <c r="AW70" s="68">
        <f t="shared" ca="1" si="585"/>
        <v>2.5371241899599468</v>
      </c>
      <c r="AX70" s="69">
        <f t="shared" ca="1" si="586"/>
        <v>1541.7039120378058</v>
      </c>
      <c r="AY70" s="69">
        <f t="shared" ca="1" si="587"/>
        <v>1537.5130032772026</v>
      </c>
      <c r="AZ70" s="69">
        <f t="shared" ca="1" si="588"/>
        <v>1509.5032329203764</v>
      </c>
      <c r="BA70" s="75"/>
      <c r="BB70" s="74">
        <f t="shared" ca="1" si="589"/>
        <v>0.22363046970267775</v>
      </c>
      <c r="BC70" s="74">
        <f t="shared" ca="1" si="590"/>
        <v>5.1491751026436446E-2</v>
      </c>
      <c r="BD70" s="68">
        <f t="shared" si="591"/>
        <v>0.19358680659522318</v>
      </c>
      <c r="BE70" s="68">
        <f t="shared" ca="1" si="592"/>
        <v>0.29766490402944806</v>
      </c>
      <c r="BF70" s="68">
        <f t="shared" ca="1" si="593"/>
        <v>0.17842559680851702</v>
      </c>
      <c r="BH70" s="68">
        <f t="shared" ca="1" si="594"/>
        <v>0.18726834154413147</v>
      </c>
      <c r="BI70" s="68">
        <f t="shared" ca="1" si="595"/>
        <v>0.2248445713775232</v>
      </c>
      <c r="BK70" s="53">
        <f t="shared" ca="1" si="596"/>
        <v>0.35119613903072661</v>
      </c>
      <c r="BL70" s="53">
        <f t="shared" si="597"/>
        <v>0.27901709930142243</v>
      </c>
      <c r="BM70" s="53">
        <f t="shared" si="598"/>
        <v>0.44808668171754301</v>
      </c>
      <c r="BN70" s="53">
        <f t="shared" si="599"/>
        <v>0.27915019770213223</v>
      </c>
      <c r="BO70" s="53">
        <f t="shared" si="600"/>
        <v>0.24176456884659986</v>
      </c>
      <c r="BP70" s="53">
        <f t="shared" si="601"/>
        <v>0.24713434223470987</v>
      </c>
      <c r="BQ70" s="54">
        <f t="shared" si="602"/>
        <v>1411.0816</v>
      </c>
      <c r="BR70" s="262">
        <f t="shared" si="603"/>
        <v>3.8622919282997032</v>
      </c>
      <c r="BS70" s="54">
        <f t="shared" si="604"/>
        <v>1591.4743544928476</v>
      </c>
      <c r="BT70" s="67"/>
      <c r="BU70" s="73">
        <f t="shared" si="605"/>
        <v>0.78614261486481318</v>
      </c>
      <c r="BV70" s="73">
        <f t="shared" si="606"/>
        <v>8.9964522335505646E-3</v>
      </c>
      <c r="BW70" s="73">
        <f t="shared" si="607"/>
        <v>0.24161168189096136</v>
      </c>
      <c r="BX70" s="73">
        <f t="shared" si="608"/>
        <v>0.12997468136053655</v>
      </c>
      <c r="BY70" s="73">
        <f t="shared" si="609"/>
        <v>2.3057056490926211E-3</v>
      </c>
      <c r="BZ70" s="73">
        <f t="shared" si="610"/>
        <v>0.45161290322580644</v>
      </c>
      <c r="CA70" s="73">
        <f t="shared" si="611"/>
        <v>0.18772494868052908</v>
      </c>
      <c r="CB70" s="73">
        <f t="shared" si="612"/>
        <v>4.5131044429131788E-2</v>
      </c>
      <c r="CC70" s="73">
        <f t="shared" si="613"/>
        <v>2.0761029588692755E-3</v>
      </c>
      <c r="CD70" s="73">
        <f t="shared" si="614"/>
        <v>1.3158760444766102E-4</v>
      </c>
      <c r="CE70" s="73">
        <f t="shared" si="615"/>
        <v>0</v>
      </c>
      <c r="CF70" s="73">
        <f t="shared" si="616"/>
        <v>1.8557077228977383</v>
      </c>
      <c r="CG70" s="73">
        <f t="shared" si="617"/>
        <v>0.42363493192625723</v>
      </c>
      <c r="CH70" s="73">
        <f t="shared" si="618"/>
        <v>4.8479898652910485E-3</v>
      </c>
      <c r="CI70" s="73">
        <f t="shared" si="619"/>
        <v>0.13019921128187045</v>
      </c>
      <c r="CJ70" s="73">
        <f t="shared" si="620"/>
        <v>7.0040491698540513E-2</v>
      </c>
      <c r="CK70" s="73">
        <f t="shared" si="621"/>
        <v>1.2424939663947718E-3</v>
      </c>
      <c r="CL70" s="73">
        <f t="shared" si="622"/>
        <v>0.24336424192954295</v>
      </c>
      <c r="CM70" s="73">
        <f t="shared" si="623"/>
        <v>0.10116083818813419</v>
      </c>
      <c r="CN70" s="73">
        <f t="shared" si="624"/>
        <v>2.4320125347464971E-2</v>
      </c>
      <c r="CO70" s="73">
        <f t="shared" si="625"/>
        <v>1.1187661360957124E-3</v>
      </c>
      <c r="CP70" s="73">
        <f t="shared" si="626"/>
        <v>7.0909660408258348E-5</v>
      </c>
      <c r="CQ70" s="73">
        <f t="shared" si="627"/>
        <v>0</v>
      </c>
      <c r="CR70" s="73"/>
      <c r="CS70" s="73">
        <f t="shared" ca="1" si="628"/>
        <v>0.68804750497722389</v>
      </c>
      <c r="CT70" s="73">
        <f t="shared" ca="1" si="629"/>
        <v>0.10159990490662882</v>
      </c>
      <c r="CU70" s="73">
        <f t="shared" ca="1" si="630"/>
        <v>1.2744951050478193</v>
      </c>
      <c r="CV70" s="73">
        <f t="shared" ca="1" si="631"/>
        <v>2.0641425149316719</v>
      </c>
      <c r="CW70" s="73">
        <f t="shared" ca="1" si="632"/>
        <v>0.33333333333333331</v>
      </c>
      <c r="CX70" s="73">
        <f t="shared" ca="1" si="633"/>
        <v>4.9221361495958536E-2</v>
      </c>
      <c r="CY70" s="73">
        <f t="shared" ca="1" si="634"/>
        <v>0.61744530517070817</v>
      </c>
      <c r="CZ70" s="73">
        <f t="shared" si="635"/>
        <v>0.41580806578261242</v>
      </c>
      <c r="DA70" s="73">
        <f t="shared" si="636"/>
        <v>0.42363493192625723</v>
      </c>
      <c r="DB70" s="73">
        <f t="shared" si="637"/>
        <v>-0.522237208545972</v>
      </c>
      <c r="DC70" s="73"/>
      <c r="DD70" s="73">
        <f t="shared" ca="1" si="638"/>
        <v>1541.7039120378058</v>
      </c>
      <c r="DE70" s="73">
        <f t="shared" ca="1" si="639"/>
        <v>14805.959611044469</v>
      </c>
      <c r="DF70" s="73">
        <f t="shared" si="640"/>
        <v>8.1582101528048732</v>
      </c>
      <c r="DG70" s="73">
        <f t="shared" si="641"/>
        <v>1667.3885015459293</v>
      </c>
      <c r="DH70" s="73">
        <f t="shared" si="642"/>
        <v>1394.2385015459295</v>
      </c>
      <c r="DI70" s="73">
        <f t="shared" si="449"/>
        <v>13602.905801982104</v>
      </c>
      <c r="DJ70" s="73">
        <f t="shared" si="643"/>
        <v>8.1582101528048732</v>
      </c>
      <c r="DK70" s="73">
        <f t="shared" si="644"/>
        <v>1667.3885015459293</v>
      </c>
      <c r="DL70" s="73">
        <f t="shared" ca="1" si="645"/>
        <v>2.4338398029362835</v>
      </c>
      <c r="DM70" s="73">
        <f t="shared" si="646"/>
        <v>-0.522237208545972</v>
      </c>
      <c r="DN70" s="73">
        <f t="shared" si="647"/>
        <v>0.41580806578261242</v>
      </c>
      <c r="DO70" s="73">
        <f t="shared" si="648"/>
        <v>0.42363493192625723</v>
      </c>
      <c r="DP70" s="73">
        <f t="shared" si="649"/>
        <v>2.5098228463931522</v>
      </c>
      <c r="DQ70" s="73">
        <f t="shared" ca="1" si="650"/>
        <v>14806.047014591401</v>
      </c>
      <c r="DR70" s="73">
        <f t="shared" si="651"/>
        <v>8.1579869256327378</v>
      </c>
      <c r="DS70" s="73">
        <f t="shared" ca="1" si="652"/>
        <v>1541.7642857866294</v>
      </c>
      <c r="DT70" s="73">
        <f t="shared" si="653"/>
        <v>1394.3017321495872</v>
      </c>
      <c r="DU70" s="73">
        <f t="shared" ca="1" si="654"/>
        <v>1513.8819291354325</v>
      </c>
      <c r="DV70" s="76">
        <f t="shared" ca="1" si="655"/>
        <v>2.5371241899599468</v>
      </c>
      <c r="DW70" s="73">
        <f t="shared" ca="1" si="656"/>
        <v>3.0124906002660801</v>
      </c>
      <c r="DX70" s="73">
        <f t="shared" ca="1" si="657"/>
        <v>4564.0802347437602</v>
      </c>
      <c r="DY70" s="73">
        <f t="shared" ca="1" si="658"/>
        <v>1515.0521081594861</v>
      </c>
      <c r="DZ70" s="73">
        <f t="shared" ca="1" si="659"/>
        <v>3.8980359863279204</v>
      </c>
      <c r="EA70" s="73"/>
      <c r="EB70" s="73">
        <f t="shared" si="660"/>
        <v>0.78614261486481318</v>
      </c>
      <c r="EC70" s="73">
        <f t="shared" si="661"/>
        <v>8.9964522335505646E-3</v>
      </c>
      <c r="ED70" s="73">
        <f t="shared" si="662"/>
        <v>0.12080584094548068</v>
      </c>
      <c r="EE70" s="73">
        <f t="shared" si="663"/>
        <v>0.12997468136053655</v>
      </c>
      <c r="EF70" s="73">
        <f t="shared" si="664"/>
        <v>2.3057056490926211E-3</v>
      </c>
      <c r="EG70" s="73">
        <f t="shared" si="665"/>
        <v>0.45161290322580644</v>
      </c>
      <c r="EH70" s="73">
        <f t="shared" si="666"/>
        <v>0.18772494868052908</v>
      </c>
      <c r="EI70" s="73">
        <f t="shared" si="667"/>
        <v>2.2565522214565894E-2</v>
      </c>
      <c r="EJ70" s="73">
        <f t="shared" si="668"/>
        <v>1.0380514794346377E-3</v>
      </c>
      <c r="EK70" s="73">
        <f t="shared" si="669"/>
        <v>6.5793802223830508E-5</v>
      </c>
      <c r="EL70" s="73">
        <f t="shared" si="670"/>
        <v>0</v>
      </c>
      <c r="EM70" s="73">
        <f t="shared" si="671"/>
        <v>1.7112325144560336</v>
      </c>
      <c r="EN70" s="73">
        <f t="shared" si="672"/>
        <v>0.45940140116769118</v>
      </c>
      <c r="EO70" s="73">
        <f t="shared" si="673"/>
        <v>5.2572938847006163E-3</v>
      </c>
      <c r="EP70" s="73">
        <f t="shared" si="674"/>
        <v>7.059580736395861E-2</v>
      </c>
      <c r="EQ70" s="73">
        <f t="shared" si="675"/>
        <v>7.5953840441053619E-2</v>
      </c>
      <c r="ER70" s="73">
        <f t="shared" si="676"/>
        <v>1.3473947167405001E-3</v>
      </c>
      <c r="ES70" s="73">
        <f t="shared" si="677"/>
        <v>0.26391089428859121</v>
      </c>
      <c r="ET70" s="73">
        <f t="shared" si="678"/>
        <v>0.10970160226309343</v>
      </c>
      <c r="EU70" s="73">
        <f t="shared" si="679"/>
        <v>1.3186707255699275E-2</v>
      </c>
      <c r="EV70" s="73">
        <f t="shared" si="680"/>
        <v>6.0661042299363593E-4</v>
      </c>
      <c r="EW70" s="73">
        <f t="shared" si="681"/>
        <v>3.8448195477833724E-5</v>
      </c>
      <c r="EX70" s="73">
        <f t="shared" si="682"/>
        <v>0</v>
      </c>
      <c r="EY70" s="73">
        <f t="shared" si="683"/>
        <v>0.99999999999999978</v>
      </c>
      <c r="EZ70" s="73">
        <f t="shared" si="684"/>
        <v>0.13019921128187045</v>
      </c>
      <c r="FA70" s="73">
        <f t="shared" si="685"/>
        <v>0.55868213307341874</v>
      </c>
      <c r="FB70" s="73">
        <f t="shared" si="686"/>
        <v>1.4808985365209073</v>
      </c>
      <c r="FC70" s="73">
        <f t="shared" si="687"/>
        <v>0.72706854074813965</v>
      </c>
      <c r="FD70" s="73">
        <f t="shared" si="688"/>
        <v>1.3013993068802732</v>
      </c>
      <c r="FE70" s="73">
        <f t="shared" ca="1" si="689"/>
        <v>0.12590276125495173</v>
      </c>
      <c r="FF70" s="73">
        <f t="shared" ca="1" si="690"/>
        <v>7.6392043871743006E-3</v>
      </c>
      <c r="FG70" s="73">
        <f t="shared" ca="1" si="691"/>
        <v>6.0675431666705019E-2</v>
      </c>
      <c r="FH70" s="73">
        <f t="shared" ca="1" si="692"/>
        <v>0.2299087797427391</v>
      </c>
      <c r="FI70" s="73">
        <f t="shared" ca="1" si="693"/>
        <v>7.9717767847226673E-2</v>
      </c>
      <c r="FJ70" s="73">
        <f t="shared" ca="1" si="694"/>
        <v>0.34673650974281373</v>
      </c>
      <c r="FK70" s="73">
        <f t="shared" ca="1" si="695"/>
        <v>7.9717767847226673E-2</v>
      </c>
      <c r="FL70" s="73">
        <f t="shared" ca="1" si="696"/>
        <v>7.97177678472267E-2</v>
      </c>
      <c r="FM70" s="73"/>
      <c r="FN70" s="73"/>
      <c r="FO70" s="73"/>
      <c r="FP70" s="73">
        <f t="shared" ca="1" si="697"/>
        <v>1.8523359155121244</v>
      </c>
      <c r="FQ70" s="73">
        <f t="shared" ca="1" si="698"/>
        <v>0.1476640844878756</v>
      </c>
      <c r="FR70" s="73">
        <f t="shared" si="479"/>
        <v>0.33333333333333331</v>
      </c>
      <c r="FS70" s="73">
        <f t="shared" ca="1" si="699"/>
        <v>4.9221361495958536E-2</v>
      </c>
      <c r="FT70" s="73">
        <f t="shared" ca="1" si="700"/>
        <v>0.61744530517070817</v>
      </c>
      <c r="FU70" s="73">
        <f t="shared" si="701"/>
        <v>20.026666666666664</v>
      </c>
      <c r="FV70" s="73">
        <f t="shared" ca="1" si="702"/>
        <v>3.5365548234846207</v>
      </c>
      <c r="FW70" s="73">
        <f t="shared" ca="1" si="703"/>
        <v>24.883045798379538</v>
      </c>
      <c r="FX70" s="73">
        <f t="shared" ca="1" si="704"/>
        <v>48.446267288530819</v>
      </c>
      <c r="FY70" s="73">
        <f t="shared" ca="1" si="705"/>
        <v>41.337894099031608</v>
      </c>
      <c r="FZ70" s="73">
        <f t="shared" ca="1" si="706"/>
        <v>7.2999531675412799</v>
      </c>
      <c r="GA70" s="73">
        <f t="shared" ca="1" si="707"/>
        <v>51.362152733427116</v>
      </c>
      <c r="GB70" s="73">
        <f t="shared" ca="1" si="708"/>
        <v>92.616795775606235</v>
      </c>
      <c r="GC70" s="73">
        <f t="shared" ca="1" si="709"/>
        <v>2433839802.9362836</v>
      </c>
      <c r="GD70" s="2">
        <f t="shared" si="152"/>
        <v>38</v>
      </c>
      <c r="GE70">
        <f t="shared" ca="1" si="710"/>
        <v>1413.6655767462748</v>
      </c>
      <c r="GF70">
        <f t="shared" ca="1" si="711"/>
        <v>1413.2233769550664</v>
      </c>
      <c r="GG70">
        <f t="shared" ca="1" si="712"/>
        <v>1793.8905499366142</v>
      </c>
      <c r="GH70" s="2">
        <f t="shared" ca="1" si="713"/>
        <v>0.32650471368110573</v>
      </c>
      <c r="GI70" s="2">
        <f t="shared" ca="1" si="714"/>
        <v>1.4599803795132422</v>
      </c>
      <c r="GJ70" s="2">
        <f t="shared" ca="1" si="715"/>
        <v>-2.0818436327204459</v>
      </c>
      <c r="GK70" s="2">
        <f t="shared" ca="1" si="716"/>
        <v>1.6284294134042669</v>
      </c>
      <c r="GL70" s="2">
        <f t="shared" ca="1" si="717"/>
        <v>-0.32650471368110573</v>
      </c>
      <c r="GM70">
        <f t="shared" ca="1" si="718"/>
        <v>0.42614550674491253</v>
      </c>
      <c r="GN70">
        <f t="shared" ca="1" si="719"/>
        <v>7.7388021007287908E-2</v>
      </c>
      <c r="GO70">
        <f t="shared" ca="1" si="720"/>
        <v>-0.19103194573372781</v>
      </c>
      <c r="GP70">
        <f t="shared" ca="1" si="721"/>
        <v>-0.10025141740670863</v>
      </c>
      <c r="GQ70">
        <f t="shared" ca="1" si="722"/>
        <v>0.29885245408767247</v>
      </c>
      <c r="GR70">
        <f t="shared" ca="1" si="723"/>
        <v>0.18159999291887827</v>
      </c>
      <c r="GS70">
        <f t="shared" ca="1" si="724"/>
        <v>-1.3392507319731267E-2</v>
      </c>
      <c r="GT70">
        <f t="shared" ca="1" si="725"/>
        <v>1.6120032104711525E-3</v>
      </c>
      <c r="GU70">
        <f t="shared" ca="1" si="726"/>
        <v>0.30699129864188163</v>
      </c>
      <c r="GV70">
        <f t="shared" ca="1" si="727"/>
        <v>-0.38194066635606566</v>
      </c>
      <c r="GW70">
        <f t="shared" ca="1" si="728"/>
        <v>0.35119613903072849</v>
      </c>
      <c r="GY70" s="15">
        <f t="shared" si="729"/>
        <v>0.15418480983954638</v>
      </c>
      <c r="GZ70" s="2">
        <f t="shared" si="730"/>
        <v>7.5891549444137063E-2</v>
      </c>
      <c r="HA70" s="2">
        <f t="shared" si="731"/>
        <v>4.9365683503042358E-2</v>
      </c>
      <c r="HB70" s="2">
        <f t="shared" si="732"/>
        <v>0.2794420427867258</v>
      </c>
      <c r="HC70" s="2">
        <f t="shared" si="733"/>
        <v>0.55175952874500866</v>
      </c>
      <c r="HD70" s="2">
        <f t="shared" si="734"/>
        <v>0.27158243150283079</v>
      </c>
      <c r="HE70" s="2">
        <f t="shared" si="735"/>
        <v>0.17665803975216057</v>
      </c>
      <c r="HF70" s="2">
        <f t="shared" si="736"/>
        <v>-1.3644326056914675</v>
      </c>
      <c r="HG70" s="2">
        <f t="shared" si="737"/>
        <v>-1.3535460028658957</v>
      </c>
      <c r="HH70" s="2">
        <f t="shared" si="738"/>
        <v>-1.3589893042786816</v>
      </c>
      <c r="HI70" s="2">
        <f t="shared" si="739"/>
        <v>2.2100139926273705</v>
      </c>
      <c r="HJ70" s="2">
        <f t="shared" si="740"/>
        <v>0.2104176863671596</v>
      </c>
      <c r="HK70" s="2">
        <f t="shared" si="741"/>
        <v>0.34105178118584711</v>
      </c>
      <c r="HL70" s="2">
        <f t="shared" si="742"/>
        <v>0.8587936694568622</v>
      </c>
    </row>
    <row r="71" spans="1:220" ht="20.25">
      <c r="A71" s="150" t="s">
        <v>323</v>
      </c>
      <c r="B71" s="77">
        <v>3500</v>
      </c>
      <c r="C71" s="95">
        <f t="shared" ca="1" si="554"/>
        <v>-2.7574582127876708</v>
      </c>
      <c r="D71" s="70">
        <f t="shared" ca="1" si="555"/>
        <v>-2.4068940550676823</v>
      </c>
      <c r="E71" s="71">
        <f t="shared" ca="1" si="556"/>
        <v>-2.7574582127876708</v>
      </c>
      <c r="F71" s="177">
        <v>44.460177752071743</v>
      </c>
      <c r="G71" s="177">
        <v>2.1389383722459132</v>
      </c>
      <c r="H71" s="177">
        <v>10.231396538150975</v>
      </c>
      <c r="I71" s="177">
        <v>11.90793389384762</v>
      </c>
      <c r="J71" s="177">
        <v>0.12934205972563675</v>
      </c>
      <c r="K71" s="177">
        <v>19.73</v>
      </c>
      <c r="L71" s="177">
        <v>7.5068391673532311</v>
      </c>
      <c r="M71" s="177">
        <v>2.5835491236463697</v>
      </c>
      <c r="N71" s="177">
        <v>0.89948863832726655</v>
      </c>
      <c r="O71" s="328">
        <v>0.01</v>
      </c>
      <c r="P71" s="177">
        <v>0.4</v>
      </c>
      <c r="Q71" s="84"/>
      <c r="R71" s="72">
        <f t="shared" si="557"/>
        <v>99.997665545368761</v>
      </c>
      <c r="S71" s="106">
        <f t="shared" ca="1" si="558"/>
        <v>3.7895372610190554</v>
      </c>
      <c r="T71" s="104">
        <f t="shared" ca="1" si="559"/>
        <v>0.34706298907369748</v>
      </c>
      <c r="U71" s="107">
        <f t="shared" ca="1" si="560"/>
        <v>1690.4196878674072</v>
      </c>
      <c r="V71" s="107">
        <f t="shared" ca="1" si="561"/>
        <v>1619.5679605222228</v>
      </c>
      <c r="W71" s="105">
        <f t="shared" ca="1" si="562"/>
        <v>1633.0447142295295</v>
      </c>
      <c r="X71" s="102">
        <f t="shared" ca="1" si="563"/>
        <v>1666.4214727803553</v>
      </c>
      <c r="Y71" s="102">
        <f t="shared" ca="1" si="564"/>
        <v>1569.1671149506694</v>
      </c>
      <c r="Z71" s="103">
        <f t="shared" ca="1" si="565"/>
        <v>1637.3201725791794</v>
      </c>
      <c r="AA71" s="103">
        <f t="shared" ca="1" si="566"/>
        <v>1628.2810392958788</v>
      </c>
      <c r="AB71" s="103">
        <f t="shared" ca="1" si="567"/>
        <v>50.72864187264458</v>
      </c>
      <c r="AC71" s="4">
        <v>13.3</v>
      </c>
      <c r="AD71" s="273">
        <f t="shared" ca="1" si="568"/>
        <v>12.62271806628852</v>
      </c>
      <c r="AE71" s="3">
        <f t="shared" ca="1" si="569"/>
        <v>119.86454480585165</v>
      </c>
      <c r="AF71" s="3">
        <f t="shared" ca="1" si="570"/>
        <v>214.2450275984952</v>
      </c>
      <c r="AG71" s="2">
        <f t="shared" ca="1" si="571"/>
        <v>559.47410378402424</v>
      </c>
      <c r="AH71" s="2">
        <f t="shared" ca="1" si="572"/>
        <v>56.547339221194704</v>
      </c>
      <c r="AI71" s="87">
        <f t="shared" si="573"/>
        <v>0.42916294475218797</v>
      </c>
      <c r="AJ71" s="87">
        <f t="shared" ca="1" si="574"/>
        <v>3.7895372610190554</v>
      </c>
      <c r="AK71" s="87">
        <f t="shared" ca="1" si="575"/>
        <v>0.27696251074876505</v>
      </c>
      <c r="AL71" s="86">
        <f t="shared" ca="1" si="576"/>
        <v>0.25677266817167704</v>
      </c>
      <c r="AM71" s="87">
        <f t="shared" ca="1" si="577"/>
        <v>0.34706298907369748</v>
      </c>
      <c r="AN71" s="87">
        <f t="shared" ca="1" si="578"/>
        <v>0.34706298907369709</v>
      </c>
      <c r="AO71" s="96">
        <f t="shared" ca="1" si="579"/>
        <v>41.227993718775565</v>
      </c>
      <c r="AP71" s="96">
        <f t="shared" ca="1" si="580"/>
        <v>7.8859955694175401</v>
      </c>
      <c r="AQ71" s="96">
        <f t="shared" ca="1" si="581"/>
        <v>50.88601071180689</v>
      </c>
      <c r="AR71" s="73"/>
      <c r="AS71" s="53">
        <f t="shared" ca="1" si="138"/>
        <v>79.97095003566946</v>
      </c>
      <c r="AT71" s="68">
        <f t="shared" ca="1" si="582"/>
        <v>92.002808726950235</v>
      </c>
      <c r="AU71" s="74">
        <f t="shared" ca="1" si="583"/>
        <v>0.34706298907369709</v>
      </c>
      <c r="AV71" s="68">
        <f t="shared" si="584"/>
        <v>2.2958320704983386</v>
      </c>
      <c r="AW71" s="68">
        <f t="shared" ca="1" si="585"/>
        <v>2.3386434650485097</v>
      </c>
      <c r="AX71" s="69">
        <f t="shared" ca="1" si="586"/>
        <v>1695.3248590162116</v>
      </c>
      <c r="AY71" s="69">
        <f t="shared" ca="1" si="587"/>
        <v>1690.4196878674072</v>
      </c>
      <c r="AZ71" s="69">
        <f t="shared" ca="1" si="588"/>
        <v>1619.5679605222228</v>
      </c>
      <c r="BA71" s="75"/>
      <c r="BB71" s="74">
        <f t="shared" ca="1" si="589"/>
        <v>0.10107230851032181</v>
      </c>
      <c r="BC71" s="74">
        <f t="shared" ca="1" si="590"/>
        <v>1.765794339424219E-2</v>
      </c>
      <c r="BD71" s="68">
        <f t="shared" si="591"/>
        <v>0</v>
      </c>
      <c r="BE71" s="68">
        <f t="shared" ca="1" si="592"/>
        <v>0.1192579990440078</v>
      </c>
      <c r="BF71" s="68">
        <f t="shared" ca="1" si="593"/>
        <v>0.14080113292151797</v>
      </c>
      <c r="BH71" s="68">
        <f t="shared" ca="1" si="594"/>
        <v>6.9843462687200819E-2</v>
      </c>
      <c r="BI71" s="68">
        <f t="shared" ca="1" si="595"/>
        <v>0.14423010207576151</v>
      </c>
      <c r="BK71" s="53">
        <f t="shared" ca="1" si="596"/>
        <v>0.61582864080988919</v>
      </c>
      <c r="BL71" s="53">
        <f t="shared" si="597"/>
        <v>2.7198630504337361E-2</v>
      </c>
      <c r="BM71" s="53">
        <f t="shared" si="598"/>
        <v>2.7658811157005699E-2</v>
      </c>
      <c r="BN71" s="53">
        <f t="shared" si="599"/>
        <v>0.29826193757559721</v>
      </c>
      <c r="BO71" s="53">
        <f t="shared" si="600"/>
        <v>0.12514403700623272</v>
      </c>
      <c r="BP71" s="53">
        <f t="shared" si="601"/>
        <v>8.3595363851310722E-2</v>
      </c>
      <c r="BQ71" s="54">
        <f t="shared" si="602"/>
        <v>1439.128336</v>
      </c>
      <c r="BR71" s="262">
        <f t="shared" si="603"/>
        <v>4.6589357097256583</v>
      </c>
      <c r="BS71" s="54">
        <f t="shared" si="604"/>
        <v>1648.5078488164602</v>
      </c>
      <c r="BT71" s="67"/>
      <c r="BU71" s="73">
        <f t="shared" si="605"/>
        <v>0.74001627416897042</v>
      </c>
      <c r="BV71" s="73">
        <f t="shared" si="606"/>
        <v>2.6770192393565869E-2</v>
      </c>
      <c r="BW71" s="73">
        <f t="shared" si="607"/>
        <v>0.20069432205082335</v>
      </c>
      <c r="BX71" s="73">
        <f t="shared" si="608"/>
        <v>0.16573324834860989</v>
      </c>
      <c r="BY71" s="73">
        <f t="shared" si="609"/>
        <v>1.8232599341082149E-3</v>
      </c>
      <c r="BZ71" s="73">
        <f t="shared" si="610"/>
        <v>0.4895781637717122</v>
      </c>
      <c r="CA71" s="73">
        <f t="shared" si="611"/>
        <v>0.13385947160044992</v>
      </c>
      <c r="CB71" s="73">
        <f t="shared" si="612"/>
        <v>8.3367186952125513E-2</v>
      </c>
      <c r="CC71" s="73">
        <f t="shared" si="613"/>
        <v>1.9097423319050243E-2</v>
      </c>
      <c r="CD71" s="73">
        <f t="shared" si="614"/>
        <v>1.3158760444766102E-4</v>
      </c>
      <c r="CE71" s="73">
        <f t="shared" si="615"/>
        <v>5.6361843032267161E-3</v>
      </c>
      <c r="CF71" s="73">
        <f t="shared" si="616"/>
        <v>1.8667073144470898</v>
      </c>
      <c r="CG71" s="73">
        <f t="shared" si="617"/>
        <v>0.39642865726283388</v>
      </c>
      <c r="CH71" s="73">
        <f t="shared" si="618"/>
        <v>1.4340862215721846E-2</v>
      </c>
      <c r="CI71" s="73">
        <f t="shared" si="619"/>
        <v>0.10751247423609528</v>
      </c>
      <c r="CJ71" s="73">
        <f t="shared" si="620"/>
        <v>8.8783735439371389E-2</v>
      </c>
      <c r="CK71" s="73">
        <f t="shared" si="621"/>
        <v>9.7672512449990378E-4</v>
      </c>
      <c r="CL71" s="73">
        <f t="shared" si="622"/>
        <v>0.26226830525744366</v>
      </c>
      <c r="CM71" s="73">
        <f t="shared" si="623"/>
        <v>7.170886971110331E-2</v>
      </c>
      <c r="CN71" s="73">
        <f t="shared" si="624"/>
        <v>4.4660020511473969E-2</v>
      </c>
      <c r="CO71" s="73">
        <f t="shared" si="625"/>
        <v>1.0230539716241919E-2</v>
      </c>
      <c r="CP71" s="73">
        <f t="shared" si="626"/>
        <v>7.0491824523994355E-5</v>
      </c>
      <c r="CQ71" s="73">
        <f t="shared" si="627"/>
        <v>3.0193187006909692E-3</v>
      </c>
      <c r="CR71" s="73"/>
      <c r="CS71" s="73">
        <f t="shared" ca="1" si="628"/>
        <v>0.68621827095165722</v>
      </c>
      <c r="CT71" s="73">
        <f t="shared" ca="1" si="629"/>
        <v>0.10975637535723787</v>
      </c>
      <c r="CU71" s="73">
        <f t="shared" ca="1" si="630"/>
        <v>1.2626801665460767</v>
      </c>
      <c r="CV71" s="73">
        <f t="shared" ca="1" si="631"/>
        <v>2.0586548128549715</v>
      </c>
      <c r="CW71" s="73">
        <f t="shared" ca="1" si="632"/>
        <v>0.33333333333333337</v>
      </c>
      <c r="CX71" s="73">
        <f t="shared" ca="1" si="633"/>
        <v>5.3314608486998448E-2</v>
      </c>
      <c r="CY71" s="73">
        <f t="shared" ca="1" si="634"/>
        <v>0.61335205817966831</v>
      </c>
      <c r="CZ71" s="73">
        <f t="shared" si="635"/>
        <v>0.42373763553241828</v>
      </c>
      <c r="DA71" s="73">
        <f t="shared" si="636"/>
        <v>0.39642865726283388</v>
      </c>
      <c r="DB71" s="73">
        <f t="shared" si="637"/>
        <v>-0.49921240091198549</v>
      </c>
      <c r="DC71" s="73"/>
      <c r="DD71" s="73">
        <f t="shared" ca="1" si="638"/>
        <v>1695.3248590162116</v>
      </c>
      <c r="DE71" s="73">
        <f t="shared" ca="1" si="639"/>
        <v>15476.112184016685</v>
      </c>
      <c r="DF71" s="73">
        <f t="shared" si="640"/>
        <v>7.8619811236762311</v>
      </c>
      <c r="DG71" s="73">
        <f t="shared" si="641"/>
        <v>1730.2134904670745</v>
      </c>
      <c r="DH71" s="73">
        <f t="shared" si="642"/>
        <v>1457.0634904670746</v>
      </c>
      <c r="DI71" s="73">
        <f t="shared" si="449"/>
        <v>13602.905801982104</v>
      </c>
      <c r="DJ71" s="73">
        <f t="shared" si="643"/>
        <v>7.8619811236762311</v>
      </c>
      <c r="DK71" s="73">
        <f t="shared" si="644"/>
        <v>1730.2134904670745</v>
      </c>
      <c r="DL71" s="73">
        <f t="shared" ca="1" si="645"/>
        <v>3.7895372610190554</v>
      </c>
      <c r="DM71" s="73">
        <f t="shared" si="646"/>
        <v>-0.49921240091198549</v>
      </c>
      <c r="DN71" s="73">
        <f t="shared" si="647"/>
        <v>0.42373763553241828</v>
      </c>
      <c r="DO71" s="73">
        <f t="shared" si="648"/>
        <v>0.39642865726283388</v>
      </c>
      <c r="DP71" s="73">
        <f t="shared" si="649"/>
        <v>2.2958320704983386</v>
      </c>
      <c r="DQ71" s="73">
        <f t="shared" ca="1" si="650"/>
        <v>15476.168268121713</v>
      </c>
      <c r="DR71" s="73">
        <f t="shared" si="651"/>
        <v>7.8617578965040957</v>
      </c>
      <c r="DS71" s="73">
        <f t="shared" ca="1" si="652"/>
        <v>1695.3878857829664</v>
      </c>
      <c r="DT71" s="73">
        <f t="shared" si="653"/>
        <v>1457.1308874398042</v>
      </c>
      <c r="DU71" s="73">
        <f t="shared" ca="1" si="654"/>
        <v>1633.0447142295295</v>
      </c>
      <c r="DV71" s="76">
        <f t="shared" ca="1" si="655"/>
        <v>2.3386434650485097</v>
      </c>
      <c r="DW71" s="73">
        <f t="shared" ca="1" si="656"/>
        <v>2.8294136639532543</v>
      </c>
      <c r="DX71" s="73">
        <f t="shared" ca="1" si="657"/>
        <v>4638.7656077095398</v>
      </c>
      <c r="DY71" s="73">
        <f t="shared" ca="1" si="658"/>
        <v>1639.4794677100203</v>
      </c>
      <c r="DZ71" s="73">
        <f t="shared" ca="1" si="659"/>
        <v>3.7143386401925005</v>
      </c>
      <c r="EA71" s="73"/>
      <c r="EB71" s="73">
        <f t="shared" si="660"/>
        <v>0.74001627416897042</v>
      </c>
      <c r="EC71" s="73">
        <f t="shared" si="661"/>
        <v>2.6770192393565869E-2</v>
      </c>
      <c r="ED71" s="73">
        <f t="shared" si="662"/>
        <v>0.10034716102541168</v>
      </c>
      <c r="EE71" s="73">
        <f t="shared" si="663"/>
        <v>0.16573324834860989</v>
      </c>
      <c r="EF71" s="73">
        <f t="shared" si="664"/>
        <v>1.8232599341082149E-3</v>
      </c>
      <c r="EG71" s="73">
        <f t="shared" si="665"/>
        <v>0.4895781637717122</v>
      </c>
      <c r="EH71" s="73">
        <f t="shared" si="666"/>
        <v>0.13385947160044992</v>
      </c>
      <c r="EI71" s="73">
        <f t="shared" si="667"/>
        <v>4.1683593476062757E-2</v>
      </c>
      <c r="EJ71" s="73">
        <f t="shared" si="668"/>
        <v>9.5487116595251217E-3</v>
      </c>
      <c r="EK71" s="73">
        <f t="shared" si="669"/>
        <v>6.5793802223830508E-5</v>
      </c>
      <c r="EL71" s="73">
        <f t="shared" si="670"/>
        <v>2.8180921516133581E-3</v>
      </c>
      <c r="EM71" s="73">
        <f t="shared" si="671"/>
        <v>1.7122439623322534</v>
      </c>
      <c r="EN71" s="73">
        <f t="shared" si="672"/>
        <v>0.43219090880074806</v>
      </c>
      <c r="EO71" s="73">
        <f t="shared" si="673"/>
        <v>1.5634566675359798E-2</v>
      </c>
      <c r="EP71" s="73">
        <f t="shared" si="674"/>
        <v>5.8605644541872677E-2</v>
      </c>
      <c r="EQ71" s="73">
        <f t="shared" si="675"/>
        <v>9.6793010806044286E-2</v>
      </c>
      <c r="ER71" s="73">
        <f t="shared" si="676"/>
        <v>1.0648365386114408E-3</v>
      </c>
      <c r="ES71" s="73">
        <f t="shared" si="677"/>
        <v>0.28592780850274169</v>
      </c>
      <c r="ET71" s="73">
        <f t="shared" si="678"/>
        <v>7.8177803248387259E-2</v>
      </c>
      <c r="EU71" s="73">
        <f t="shared" si="679"/>
        <v>2.4344424271927578E-2</v>
      </c>
      <c r="EV71" s="73">
        <f t="shared" si="680"/>
        <v>5.5767238019743337E-3</v>
      </c>
      <c r="EW71" s="73">
        <f t="shared" si="681"/>
        <v>3.8425483559137535E-5</v>
      </c>
      <c r="EX71" s="73">
        <f t="shared" si="682"/>
        <v>1.645847328773655E-3</v>
      </c>
      <c r="EY71" s="73">
        <f t="shared" si="683"/>
        <v>1</v>
      </c>
      <c r="EZ71" s="73">
        <f t="shared" si="684"/>
        <v>0.10751247423609528</v>
      </c>
      <c r="FA71" s="73">
        <f t="shared" si="685"/>
        <v>0.518281993714651</v>
      </c>
      <c r="FB71" s="73">
        <f t="shared" si="686"/>
        <v>1.441644700446044</v>
      </c>
      <c r="FC71" s="73">
        <f t="shared" si="687"/>
        <v>0.81016142603348396</v>
      </c>
      <c r="FD71" s="73">
        <f t="shared" si="688"/>
        <v>1.5631672252915121</v>
      </c>
      <c r="FE71" s="73">
        <f t="shared" ca="1" si="689"/>
        <v>0.17581762409707172</v>
      </c>
      <c r="FF71" s="73">
        <f t="shared" ca="1" si="690"/>
        <v>1.2590613637708649E-2</v>
      </c>
      <c r="FG71" s="73">
        <f t="shared" ca="1" si="691"/>
        <v>7.1611783530626985E-2</v>
      </c>
      <c r="FH71" s="73">
        <f t="shared" ca="1" si="692"/>
        <v>0.25045407057684044</v>
      </c>
      <c r="FI71" s="73">
        <f t="shared" ca="1" si="693"/>
        <v>8.6923338360072933E-2</v>
      </c>
      <c r="FJ71" s="73">
        <f t="shared" ca="1" si="694"/>
        <v>0.34706298907369709</v>
      </c>
      <c r="FK71" s="73">
        <f t="shared" ca="1" si="695"/>
        <v>8.6923338360072905E-2</v>
      </c>
      <c r="FL71" s="73">
        <f t="shared" ca="1" si="696"/>
        <v>8.692333836007303E-2</v>
      </c>
      <c r="FM71" s="73"/>
      <c r="FN71" s="73"/>
      <c r="FO71" s="73"/>
      <c r="FP71" s="73">
        <f t="shared" ca="1" si="697"/>
        <v>1.8400561745390047</v>
      </c>
      <c r="FQ71" s="73">
        <f t="shared" ca="1" si="698"/>
        <v>0.15994382546099528</v>
      </c>
      <c r="FR71" s="73">
        <f t="shared" si="479"/>
        <v>0.33333333333333331</v>
      </c>
      <c r="FS71" s="73">
        <f t="shared" ca="1" si="699"/>
        <v>5.3314608486998427E-2</v>
      </c>
      <c r="FT71" s="73">
        <f t="shared" ca="1" si="700"/>
        <v>0.6133520581796682</v>
      </c>
      <c r="FU71" s="73">
        <f t="shared" si="701"/>
        <v>20.026666666666664</v>
      </c>
      <c r="FV71" s="73">
        <f t="shared" ca="1" si="702"/>
        <v>3.8306546197908369</v>
      </c>
      <c r="FW71" s="73">
        <f t="shared" ca="1" si="703"/>
        <v>24.718087944640626</v>
      </c>
      <c r="FX71" s="73">
        <f t="shared" ca="1" si="704"/>
        <v>48.575409231098128</v>
      </c>
      <c r="FY71" s="73">
        <f t="shared" ca="1" si="705"/>
        <v>41.227993718775565</v>
      </c>
      <c r="FZ71" s="73">
        <f t="shared" ca="1" si="706"/>
        <v>7.8859955694175401</v>
      </c>
      <c r="GA71" s="73">
        <f t="shared" ca="1" si="707"/>
        <v>50.88601071180689</v>
      </c>
      <c r="GB71" s="73">
        <f t="shared" ca="1" si="708"/>
        <v>92.002808726950249</v>
      </c>
      <c r="GC71" s="73">
        <f t="shared" ca="1" si="709"/>
        <v>3789537261.0190554</v>
      </c>
      <c r="GD71" s="2">
        <f t="shared" si="152"/>
        <v>38</v>
      </c>
      <c r="GE71">
        <f t="shared" ca="1" si="710"/>
        <v>1550.4662382721676</v>
      </c>
      <c r="GF71">
        <f t="shared" ca="1" si="711"/>
        <v>1550.3330370902975</v>
      </c>
      <c r="GG71">
        <f t="shared" ca="1" si="712"/>
        <v>1864.4007108349408</v>
      </c>
      <c r="GH71" s="2">
        <f t="shared" ca="1" si="713"/>
        <v>0.44603969936431265</v>
      </c>
      <c r="GI71" s="2">
        <f t="shared" ca="1" si="714"/>
        <v>1.0505597471722452</v>
      </c>
      <c r="GJ71" s="2">
        <f t="shared" ca="1" si="715"/>
        <v>-1.3063846866971005</v>
      </c>
      <c r="GK71" s="2">
        <f t="shared" ca="1" si="716"/>
        <v>1.2610354022638357</v>
      </c>
      <c r="GL71" s="2">
        <f t="shared" ca="1" si="717"/>
        <v>-0.44603969936431265</v>
      </c>
      <c r="GM71">
        <f t="shared" ca="1" si="718"/>
        <v>0.34532064797754103</v>
      </c>
      <c r="GN71">
        <f t="shared" ca="1" si="719"/>
        <v>4.1178226823202817E-2</v>
      </c>
      <c r="GO71">
        <f t="shared" ca="1" si="720"/>
        <v>-0.14384210466310923</v>
      </c>
      <c r="GP71">
        <f t="shared" ca="1" si="721"/>
        <v>-0.17685455085700741</v>
      </c>
      <c r="GQ71">
        <f t="shared" ca="1" si="722"/>
        <v>0.27769766158990183</v>
      </c>
      <c r="GR71">
        <f t="shared" ca="1" si="723"/>
        <v>0.11924634991962881</v>
      </c>
      <c r="GS71">
        <f t="shared" ca="1" si="724"/>
        <v>7.4190673017101E-2</v>
      </c>
      <c r="GT71">
        <f t="shared" ca="1" si="725"/>
        <v>3.9782082709082988E-3</v>
      </c>
      <c r="GU71">
        <f t="shared" ca="1" si="726"/>
        <v>0.55566445681983656</v>
      </c>
      <c r="GV71">
        <f t="shared" ca="1" si="727"/>
        <v>-0.28515646398748845</v>
      </c>
      <c r="GW71">
        <f t="shared" ca="1" si="728"/>
        <v>0.61582864080988919</v>
      </c>
      <c r="GY71" s="15">
        <f t="shared" si="729"/>
        <v>0.2101357705952199</v>
      </c>
      <c r="GZ71" s="2">
        <f t="shared" si="730"/>
        <v>7.4278636700791614E-2</v>
      </c>
      <c r="HA71" s="2">
        <f t="shared" si="731"/>
        <v>2.0676068175969814E-2</v>
      </c>
      <c r="HB71" s="2">
        <f t="shared" si="732"/>
        <v>0.30509047547198132</v>
      </c>
      <c r="HC71" s="2">
        <f t="shared" si="733"/>
        <v>0.68876542366698101</v>
      </c>
      <c r="HD71" s="2">
        <f t="shared" si="734"/>
        <v>0.24346429230830957</v>
      </c>
      <c r="HE71" s="2">
        <f t="shared" si="735"/>
        <v>6.7770284024709415E-2</v>
      </c>
      <c r="HF71" s="2">
        <f t="shared" si="736"/>
        <v>-1.2365319388648213</v>
      </c>
      <c r="HG71" s="2">
        <f t="shared" si="737"/>
        <v>-1.3273148154305494</v>
      </c>
      <c r="HH71" s="2">
        <f t="shared" si="738"/>
        <v>-1.2819233771476854</v>
      </c>
      <c r="HI71" s="2">
        <f t="shared" si="739"/>
        <v>1.464540382419437</v>
      </c>
      <c r="HJ71" s="2">
        <f t="shared" si="740"/>
        <v>0.27436463526148669</v>
      </c>
      <c r="HK71" s="2">
        <f t="shared" si="741"/>
        <v>0.34394854810083103</v>
      </c>
      <c r="HL71" s="2">
        <f t="shared" si="742"/>
        <v>0.67350054774352008</v>
      </c>
    </row>
    <row r="72" spans="1:220" ht="20.25">
      <c r="A72" s="150" t="s">
        <v>324</v>
      </c>
      <c r="B72" s="77">
        <v>3500</v>
      </c>
      <c r="C72" s="95">
        <f t="shared" ca="1" si="554"/>
        <v>-3.5387140197623226</v>
      </c>
      <c r="D72" s="70">
        <f t="shared" ca="1" si="555"/>
        <v>-3.4328879114644213</v>
      </c>
      <c r="E72" s="71">
        <f t="shared" ca="1" si="556"/>
        <v>-3.538714019762319</v>
      </c>
      <c r="F72" s="177">
        <v>47.471178415992384</v>
      </c>
      <c r="G72" s="177">
        <v>0.66893613343545899</v>
      </c>
      <c r="H72" s="177">
        <v>11.296943956860137</v>
      </c>
      <c r="I72" s="177">
        <v>11.971186692924874</v>
      </c>
      <c r="J72" s="177">
        <v>0.1803920085612693</v>
      </c>
      <c r="K72" s="177">
        <v>19.91</v>
      </c>
      <c r="L72" s="177">
        <v>6.8875169696329053</v>
      </c>
      <c r="M72" s="177">
        <v>1.4421956665242526</v>
      </c>
      <c r="N72" s="177">
        <v>0.1161705248257001</v>
      </c>
      <c r="O72" s="328">
        <v>0.01</v>
      </c>
      <c r="P72" s="177">
        <v>0.1</v>
      </c>
      <c r="Q72" s="84"/>
      <c r="R72" s="72">
        <f t="shared" si="557"/>
        <v>100.054520368757</v>
      </c>
      <c r="S72" s="106">
        <f t="shared" ca="1" si="558"/>
        <v>2.7677651725805319</v>
      </c>
      <c r="T72" s="104">
        <f t="shared" ca="1" si="559"/>
        <v>0.34993852003798293</v>
      </c>
      <c r="U72" s="107">
        <f t="shared" ca="1" si="560"/>
        <v>1602.6208658475718</v>
      </c>
      <c r="V72" s="107">
        <f t="shared" ca="1" si="561"/>
        <v>1563.9324394371647</v>
      </c>
      <c r="W72" s="105">
        <f t="shared" ca="1" si="562"/>
        <v>1572.0448780498962</v>
      </c>
      <c r="X72" s="102">
        <f t="shared" ca="1" si="563"/>
        <v>1694.9625563430677</v>
      </c>
      <c r="Y72" s="102">
        <f t="shared" ca="1" si="564"/>
        <v>1585.1144907964422</v>
      </c>
      <c r="Z72" s="103">
        <f t="shared" ca="1" si="565"/>
        <v>1658.7367485417367</v>
      </c>
      <c r="AA72" s="103">
        <f t="shared" ca="1" si="566"/>
        <v>1636.3780537092393</v>
      </c>
      <c r="AB72" s="103">
        <f t="shared" ca="1" si="567"/>
        <v>60.275217265453527</v>
      </c>
      <c r="AC72" s="4">
        <v>13.3</v>
      </c>
      <c r="AD72" s="273">
        <f t="shared" ca="1" si="568"/>
        <v>12.211815614686092</v>
      </c>
      <c r="AE72" s="3">
        <f t="shared" ca="1" si="569"/>
        <v>116.40101276737055</v>
      </c>
      <c r="AF72" s="3">
        <f t="shared" ca="1" si="570"/>
        <v>213.84652944084809</v>
      </c>
      <c r="AG72" s="2">
        <f t="shared" ca="1" si="571"/>
        <v>544.32032669283103</v>
      </c>
      <c r="AH72" s="2">
        <f t="shared" ca="1" si="572"/>
        <v>106.24505222437804</v>
      </c>
      <c r="AI72" s="87">
        <f t="shared" si="573"/>
        <v>0.38097160011154524</v>
      </c>
      <c r="AJ72" s="87">
        <f t="shared" ca="1" si="574"/>
        <v>2.7677651725805319</v>
      </c>
      <c r="AK72" s="87">
        <f t="shared" ca="1" si="575"/>
        <v>0.28718600101839953</v>
      </c>
      <c r="AL72" s="86">
        <f t="shared" ca="1" si="576"/>
        <v>0.28338867217036545</v>
      </c>
      <c r="AM72" s="87">
        <f t="shared" ca="1" si="577"/>
        <v>0.34993852003798287</v>
      </c>
      <c r="AN72" s="87">
        <f t="shared" ca="1" si="578"/>
        <v>0.34993852003798359</v>
      </c>
      <c r="AO72" s="96">
        <f t="shared" ca="1" si="579"/>
        <v>41.098757019313247</v>
      </c>
      <c r="AP72" s="96">
        <f t="shared" ca="1" si="580"/>
        <v>8.5751486513905668</v>
      </c>
      <c r="AQ72" s="96">
        <f t="shared" ca="1" si="581"/>
        <v>50.32609432929619</v>
      </c>
      <c r="AR72" s="73"/>
      <c r="AS72" s="53">
        <f t="shared" ca="1" si="138"/>
        <v>78.547910913852903</v>
      </c>
      <c r="AT72" s="68">
        <f t="shared" ca="1" si="582"/>
        <v>91.276593193034088</v>
      </c>
      <c r="AU72" s="74">
        <f t="shared" ca="1" si="583"/>
        <v>0.34993852003798359</v>
      </c>
      <c r="AV72" s="68">
        <f t="shared" si="584"/>
        <v>2.2628395352344395</v>
      </c>
      <c r="AW72" s="68">
        <f t="shared" ca="1" si="585"/>
        <v>2.2868350557020451</v>
      </c>
      <c r="AX72" s="69">
        <f t="shared" ca="1" si="586"/>
        <v>1609.9244473386552</v>
      </c>
      <c r="AY72" s="69">
        <f t="shared" ca="1" si="587"/>
        <v>1602.6208658475718</v>
      </c>
      <c r="AZ72" s="69">
        <f t="shared" ca="1" si="588"/>
        <v>1563.9324394371647</v>
      </c>
      <c r="BA72" s="75"/>
      <c r="BB72" s="74">
        <f t="shared" ca="1" si="589"/>
        <v>0.19518847085850988</v>
      </c>
      <c r="BC72" s="74">
        <f t="shared" ca="1" si="590"/>
        <v>1.5148482954139682E-2</v>
      </c>
      <c r="BD72" s="68">
        <f t="shared" si="591"/>
        <v>8.6005232321812758E-2</v>
      </c>
      <c r="BE72" s="68">
        <f t="shared" ca="1" si="592"/>
        <v>0.24891204760673979</v>
      </c>
      <c r="BF72" s="68">
        <f t="shared" ca="1" si="593"/>
        <v>0.21834774594187242</v>
      </c>
      <c r="BH72" s="68">
        <f t="shared" ca="1" si="594"/>
        <v>0.15530354959128645</v>
      </c>
      <c r="BI72" s="68">
        <f t="shared" ca="1" si="595"/>
        <v>0.22748885756361711</v>
      </c>
      <c r="BK72" s="53">
        <f t="shared" ca="1" si="596"/>
        <v>0.53766281769881297</v>
      </c>
      <c r="BL72" s="53">
        <f t="shared" si="597"/>
        <v>3.3197865070706434E-2</v>
      </c>
      <c r="BM72" s="53">
        <f t="shared" si="598"/>
        <v>3.5092428190771525E-2</v>
      </c>
      <c r="BN72" s="53">
        <f t="shared" si="599"/>
        <v>0.34035317882215665</v>
      </c>
      <c r="BO72" s="53">
        <f t="shared" si="600"/>
        <v>0.49118193720372694</v>
      </c>
      <c r="BP72" s="53">
        <f t="shared" si="601"/>
        <v>0.49879882785075547</v>
      </c>
      <c r="BQ72" s="54">
        <f t="shared" si="602"/>
        <v>1442.3787040000002</v>
      </c>
      <c r="BR72" s="262">
        <f t="shared" si="603"/>
        <v>4.7638897008963941</v>
      </c>
      <c r="BS72" s="54">
        <f t="shared" si="604"/>
        <v>1655.407642246224</v>
      </c>
      <c r="BT72" s="67"/>
      <c r="BU72" s="73">
        <f t="shared" si="605"/>
        <v>0.79013279653782265</v>
      </c>
      <c r="BV72" s="73">
        <f t="shared" si="606"/>
        <v>8.3721668765389112E-3</v>
      </c>
      <c r="BW72" s="73">
        <f t="shared" si="607"/>
        <v>0.22159560527383557</v>
      </c>
      <c r="BX72" s="73">
        <f t="shared" si="608"/>
        <v>0.16661359349930238</v>
      </c>
      <c r="BY72" s="73">
        <f t="shared" si="609"/>
        <v>2.5428814288309741E-3</v>
      </c>
      <c r="BZ72" s="73">
        <f t="shared" si="610"/>
        <v>0.49404466501240701</v>
      </c>
      <c r="CA72" s="73">
        <f t="shared" si="611"/>
        <v>0.12281592313896052</v>
      </c>
      <c r="CB72" s="73">
        <f t="shared" si="612"/>
        <v>4.6537452937213702E-2</v>
      </c>
      <c r="CC72" s="73">
        <f t="shared" si="613"/>
        <v>2.4664654952377941E-3</v>
      </c>
      <c r="CD72" s="73">
        <f t="shared" si="614"/>
        <v>1.3158760444766102E-4</v>
      </c>
      <c r="CE72" s="73">
        <f t="shared" si="615"/>
        <v>1.409046075806679E-3</v>
      </c>
      <c r="CF72" s="73">
        <f t="shared" si="616"/>
        <v>1.8566621838804038</v>
      </c>
      <c r="CG72" s="73">
        <f t="shared" si="617"/>
        <v>0.42556626800382913</v>
      </c>
      <c r="CH72" s="73">
        <f t="shared" si="618"/>
        <v>4.5092569608118872E-3</v>
      </c>
      <c r="CI72" s="73">
        <f t="shared" si="619"/>
        <v>0.11935160159868348</v>
      </c>
      <c r="CJ72" s="73">
        <f t="shared" si="620"/>
        <v>8.9738238299808412E-2</v>
      </c>
      <c r="CK72" s="73">
        <f t="shared" si="621"/>
        <v>1.3695983313003013E-3</v>
      </c>
      <c r="CL72" s="73">
        <f t="shared" si="622"/>
        <v>0.2660929216427832</v>
      </c>
      <c r="CM72" s="73">
        <f t="shared" si="623"/>
        <v>6.6148771814954821E-2</v>
      </c>
      <c r="CN72" s="73">
        <f t="shared" si="624"/>
        <v>2.5065115959840865E-2</v>
      </c>
      <c r="CO72" s="73">
        <f t="shared" si="625"/>
        <v>1.3284406375331608E-3</v>
      </c>
      <c r="CP72" s="73">
        <f t="shared" si="626"/>
        <v>7.0873207625010362E-5</v>
      </c>
      <c r="CQ72" s="73">
        <f t="shared" si="627"/>
        <v>7.5891354282973977E-4</v>
      </c>
      <c r="CR72" s="73"/>
      <c r="CS72" s="73">
        <f t="shared" ca="1" si="628"/>
        <v>0.68406719406313665</v>
      </c>
      <c r="CT72" s="73">
        <f t="shared" ca="1" si="629"/>
        <v>0.11934792834224868</v>
      </c>
      <c r="CU72" s="73">
        <f t="shared" ca="1" si="630"/>
        <v>1.2487864597840246</v>
      </c>
      <c r="CV72" s="73">
        <f t="shared" ca="1" si="631"/>
        <v>2.0522015821894097</v>
      </c>
      <c r="CW72" s="73">
        <f t="shared" ca="1" si="632"/>
        <v>0.33333333333333337</v>
      </c>
      <c r="CX72" s="73">
        <f t="shared" ca="1" si="633"/>
        <v>5.8156045379772717E-2</v>
      </c>
      <c r="CY72" s="73">
        <f t="shared" ca="1" si="634"/>
        <v>0.60851062128689404</v>
      </c>
      <c r="CZ72" s="73">
        <f t="shared" si="635"/>
        <v>0.42334953008884674</v>
      </c>
      <c r="DA72" s="73">
        <f t="shared" si="636"/>
        <v>0.42556626800382913</v>
      </c>
      <c r="DB72" s="73">
        <f t="shared" si="637"/>
        <v>-0.47647507289822438</v>
      </c>
      <c r="DC72" s="73"/>
      <c r="DD72" s="73">
        <f t="shared" ca="1" si="638"/>
        <v>1609.9244473386552</v>
      </c>
      <c r="DE72" s="73">
        <f t="shared" ca="1" si="639"/>
        <v>14971.026635632879</v>
      </c>
      <c r="DF72" s="73">
        <f t="shared" si="640"/>
        <v>7.9503105449661842</v>
      </c>
      <c r="DG72" s="73">
        <f t="shared" si="641"/>
        <v>1710.9904984271232</v>
      </c>
      <c r="DH72" s="73">
        <f t="shared" si="642"/>
        <v>1437.8404984271233</v>
      </c>
      <c r="DI72" s="73">
        <f t="shared" si="449"/>
        <v>13602.905801982104</v>
      </c>
      <c r="DJ72" s="73">
        <f t="shared" si="643"/>
        <v>7.9503105449661842</v>
      </c>
      <c r="DK72" s="73">
        <f t="shared" si="644"/>
        <v>1710.9904984271232</v>
      </c>
      <c r="DL72" s="73">
        <f t="shared" ca="1" si="645"/>
        <v>2.7677651725805319</v>
      </c>
      <c r="DM72" s="73">
        <f t="shared" si="646"/>
        <v>-0.47647507289822438</v>
      </c>
      <c r="DN72" s="73">
        <f t="shared" si="647"/>
        <v>0.42334953008884674</v>
      </c>
      <c r="DO72" s="73">
        <f t="shared" si="648"/>
        <v>0.42556626800382913</v>
      </c>
      <c r="DP72" s="73">
        <f t="shared" si="649"/>
        <v>2.2628395352344395</v>
      </c>
      <c r="DQ72" s="73">
        <f t="shared" ca="1" si="650"/>
        <v>14971.106324806551</v>
      </c>
      <c r="DR72" s="73">
        <f t="shared" si="651"/>
        <v>7.9500873177940488</v>
      </c>
      <c r="DS72" s="73">
        <f t="shared" ca="1" si="652"/>
        <v>1609.9873450827281</v>
      </c>
      <c r="DT72" s="73">
        <f t="shared" si="653"/>
        <v>1437.906606831647</v>
      </c>
      <c r="DU72" s="73">
        <f t="shared" ca="1" si="654"/>
        <v>1572.0448780498962</v>
      </c>
      <c r="DV72" s="76">
        <f t="shared" ca="1" si="655"/>
        <v>2.2868350557020451</v>
      </c>
      <c r="DW72" s="73">
        <f t="shared" ca="1" si="656"/>
        <v>2.9054583591907228</v>
      </c>
      <c r="DX72" s="73">
        <f t="shared" ca="1" si="657"/>
        <v>4582.4761833574612</v>
      </c>
      <c r="DY72" s="73">
        <f t="shared" ca="1" si="658"/>
        <v>1577.1956148887466</v>
      </c>
      <c r="DZ72" s="73">
        <f t="shared" ca="1" si="659"/>
        <v>3.5055102606701642</v>
      </c>
      <c r="EA72" s="73"/>
      <c r="EB72" s="73">
        <f t="shared" si="660"/>
        <v>0.79013279653782265</v>
      </c>
      <c r="EC72" s="73">
        <f t="shared" si="661"/>
        <v>8.3721668765389112E-3</v>
      </c>
      <c r="ED72" s="73">
        <f t="shared" si="662"/>
        <v>0.11079780263691778</v>
      </c>
      <c r="EE72" s="73">
        <f t="shared" si="663"/>
        <v>0.16661359349930238</v>
      </c>
      <c r="EF72" s="73">
        <f t="shared" si="664"/>
        <v>2.5428814288309741E-3</v>
      </c>
      <c r="EG72" s="73">
        <f t="shared" si="665"/>
        <v>0.49404466501240701</v>
      </c>
      <c r="EH72" s="73">
        <f t="shared" si="666"/>
        <v>0.12281592313896052</v>
      </c>
      <c r="EI72" s="73">
        <f t="shared" si="667"/>
        <v>2.3268726468606851E-2</v>
      </c>
      <c r="EJ72" s="73">
        <f t="shared" si="668"/>
        <v>1.233232747618897E-3</v>
      </c>
      <c r="EK72" s="73">
        <f t="shared" si="669"/>
        <v>6.5793802223830508E-5</v>
      </c>
      <c r="EL72" s="73">
        <f t="shared" si="670"/>
        <v>7.0452303790333951E-4</v>
      </c>
      <c r="EM72" s="73">
        <f t="shared" si="671"/>
        <v>1.7205921051871333</v>
      </c>
      <c r="EN72" s="73">
        <f t="shared" si="672"/>
        <v>0.45922144717262142</v>
      </c>
      <c r="EO72" s="73">
        <f t="shared" si="673"/>
        <v>4.8658638217036025E-3</v>
      </c>
      <c r="EP72" s="73">
        <f t="shared" si="674"/>
        <v>6.4395159261100579E-2</v>
      </c>
      <c r="EQ72" s="73">
        <f t="shared" si="675"/>
        <v>9.6835033124356526E-2</v>
      </c>
      <c r="ER72" s="73">
        <f t="shared" si="676"/>
        <v>1.4779106687545841E-3</v>
      </c>
      <c r="ES72" s="73">
        <f t="shared" si="677"/>
        <v>0.28713642444539417</v>
      </c>
      <c r="ET72" s="73">
        <f t="shared" si="678"/>
        <v>7.1380034099135264E-2</v>
      </c>
      <c r="EU72" s="73">
        <f t="shared" si="679"/>
        <v>1.3523673855330239E-2</v>
      </c>
      <c r="EV72" s="73">
        <f t="shared" si="680"/>
        <v>7.1674904464633083E-4</v>
      </c>
      <c r="EW72" s="73">
        <f t="shared" si="681"/>
        <v>3.8239046910351076E-5</v>
      </c>
      <c r="EX72" s="73">
        <f t="shared" si="682"/>
        <v>4.0946546004679875E-4</v>
      </c>
      <c r="EY72" s="73">
        <f t="shared" si="683"/>
        <v>0.99999999999999989</v>
      </c>
      <c r="EZ72" s="73">
        <f t="shared" si="684"/>
        <v>0.11935160159868348</v>
      </c>
      <c r="FA72" s="73">
        <f t="shared" si="685"/>
        <v>0.54942712656332449</v>
      </c>
      <c r="FB72" s="73">
        <f t="shared" si="686"/>
        <v>1.4777283543833528</v>
      </c>
      <c r="FC72" s="73">
        <f t="shared" si="687"/>
        <v>0.75774820251340769</v>
      </c>
      <c r="FD72" s="73">
        <f t="shared" si="688"/>
        <v>1.3791605217112866</v>
      </c>
      <c r="FE72" s="73">
        <f t="shared" ca="1" si="689"/>
        <v>0.11741797468109484</v>
      </c>
      <c r="FF72" s="73">
        <f t="shared" ca="1" si="690"/>
        <v>9.2078413116426765E-3</v>
      </c>
      <c r="FG72" s="73">
        <f t="shared" ca="1" si="691"/>
        <v>7.8419350501071169E-2</v>
      </c>
      <c r="FH72" s="73">
        <f t="shared" ca="1" si="692"/>
        <v>0.2731083339654265</v>
      </c>
      <c r="FI72" s="73">
        <f t="shared" ca="1" si="693"/>
        <v>9.5571126197900716E-2</v>
      </c>
      <c r="FJ72" s="73">
        <f t="shared" ca="1" si="694"/>
        <v>0.34993852003798359</v>
      </c>
      <c r="FK72" s="73">
        <f t="shared" ca="1" si="695"/>
        <v>9.5571126197900702E-2</v>
      </c>
      <c r="FL72" s="73">
        <f t="shared" ca="1" si="696"/>
        <v>9.5571126197900522E-2</v>
      </c>
      <c r="FM72" s="73"/>
      <c r="FN72" s="73"/>
      <c r="FO72" s="73"/>
      <c r="FP72" s="73">
        <f t="shared" ca="1" si="697"/>
        <v>1.8255318638606823</v>
      </c>
      <c r="FQ72" s="73">
        <f t="shared" ca="1" si="698"/>
        <v>0.17446813613931766</v>
      </c>
      <c r="FR72" s="73">
        <f t="shared" si="479"/>
        <v>0.33333333333333331</v>
      </c>
      <c r="FS72" s="73">
        <f t="shared" ca="1" si="699"/>
        <v>5.8156045379772557E-2</v>
      </c>
      <c r="FT72" s="73">
        <f t="shared" ca="1" si="700"/>
        <v>0.60851062128689415</v>
      </c>
      <c r="FU72" s="73">
        <f t="shared" si="701"/>
        <v>20.026666666666664</v>
      </c>
      <c r="FV72" s="73">
        <f t="shared" ca="1" si="702"/>
        <v>4.1785118605366582</v>
      </c>
      <c r="FW72" s="73">
        <f t="shared" ca="1" si="703"/>
        <v>24.522978037861833</v>
      </c>
      <c r="FX72" s="73">
        <f t="shared" ca="1" si="704"/>
        <v>48.728156565065156</v>
      </c>
      <c r="FY72" s="73">
        <f t="shared" ca="1" si="705"/>
        <v>41.098757019313247</v>
      </c>
      <c r="FZ72" s="73">
        <f t="shared" ca="1" si="706"/>
        <v>8.5751486513905455</v>
      </c>
      <c r="GA72" s="73">
        <f t="shared" ca="1" si="707"/>
        <v>50.326094329296204</v>
      </c>
      <c r="GB72" s="73">
        <f t="shared" ca="1" si="708"/>
        <v>91.276593193034117</v>
      </c>
      <c r="GC72" s="73">
        <f t="shared" ca="1" si="709"/>
        <v>2767765172.5805321</v>
      </c>
      <c r="GD72" s="2">
        <f t="shared" ref="GD72:GD79" si="743">$BK$5</f>
        <v>38</v>
      </c>
      <c r="GE72">
        <f t="shared" ca="1" si="710"/>
        <v>1449.1152080562433</v>
      </c>
      <c r="GF72">
        <f t="shared" ca="1" si="711"/>
        <v>1448.7366766819466</v>
      </c>
      <c r="GG72">
        <f t="shared" ca="1" si="712"/>
        <v>1812.3666357752559</v>
      </c>
      <c r="GH72" s="2">
        <f t="shared" ca="1" si="713"/>
        <v>0.42318897361847402</v>
      </c>
      <c r="GI72" s="2">
        <f t="shared" ca="1" si="714"/>
        <v>1.3591349178806791</v>
      </c>
      <c r="GJ72" s="2">
        <f t="shared" ca="1" si="715"/>
        <v>-1.8908383212839361</v>
      </c>
      <c r="GK72" s="2">
        <f t="shared" ca="1" si="716"/>
        <v>1.5379356382306755</v>
      </c>
      <c r="GL72" s="2">
        <f t="shared" ca="1" si="717"/>
        <v>-0.42318897361847402</v>
      </c>
      <c r="GM72">
        <f t="shared" ca="1" si="718"/>
        <v>0.40982172774998982</v>
      </c>
      <c r="GN72">
        <f t="shared" ca="1" si="719"/>
        <v>6.8831136389278194E-2</v>
      </c>
      <c r="GO72">
        <f t="shared" ca="1" si="720"/>
        <v>-0.18108788379857266</v>
      </c>
      <c r="GP72">
        <f t="shared" ca="1" si="721"/>
        <v>-0.1375834472843524</v>
      </c>
      <c r="GQ72">
        <f t="shared" ca="1" si="722"/>
        <v>0.29457992998205085</v>
      </c>
      <c r="GR72">
        <f t="shared" ca="1" si="723"/>
        <v>0.16795384853598677</v>
      </c>
      <c r="GS72">
        <f t="shared" ca="1" si="724"/>
        <v>2.5326699875057937E-2</v>
      </c>
      <c r="GT72">
        <f t="shared" ca="1" si="725"/>
        <v>2.0303434201986242E-3</v>
      </c>
      <c r="GU72">
        <f t="shared" ca="1" si="726"/>
        <v>0.42546157655435668</v>
      </c>
      <c r="GV72">
        <f t="shared" ca="1" si="727"/>
        <v>-0.29762048660553114</v>
      </c>
      <c r="GW72">
        <f t="shared" ca="1" si="728"/>
        <v>0.53766281769881541</v>
      </c>
      <c r="GY72" s="15">
        <f t="shared" si="729"/>
        <v>0.19193857216251975</v>
      </c>
      <c r="GZ72" s="2">
        <f t="shared" si="730"/>
        <v>6.9299262129714531E-2</v>
      </c>
      <c r="HA72" s="2">
        <f t="shared" si="731"/>
        <v>8.6638991184669695E-2</v>
      </c>
      <c r="HB72" s="2">
        <f t="shared" si="732"/>
        <v>0.34787682547690402</v>
      </c>
      <c r="HC72" s="2">
        <f t="shared" si="733"/>
        <v>0.55174291043788659</v>
      </c>
      <c r="HD72" s="2">
        <f t="shared" si="734"/>
        <v>0.19920631975042383</v>
      </c>
      <c r="HE72" s="2">
        <f t="shared" si="735"/>
        <v>0.24905076981168947</v>
      </c>
      <c r="HF72" s="2">
        <f t="shared" si="736"/>
        <v>-1.2690106995852204</v>
      </c>
      <c r="HG72" s="2">
        <f t="shared" si="737"/>
        <v>-1.2719201638202988</v>
      </c>
      <c r="HH72" s="2">
        <f t="shared" si="738"/>
        <v>-1.2704654317027595</v>
      </c>
      <c r="HI72" s="2">
        <f t="shared" si="739"/>
        <v>2.7037380130667836</v>
      </c>
      <c r="HJ72" s="2">
        <f t="shared" si="740"/>
        <v>0.1489038737638497</v>
      </c>
      <c r="HK72" s="2">
        <f t="shared" si="741"/>
        <v>0.34426232090111175</v>
      </c>
      <c r="HL72" s="2">
        <f t="shared" si="742"/>
        <v>0.66994193689585702</v>
      </c>
    </row>
    <row r="73" spans="1:220" ht="20.25">
      <c r="A73" s="150" t="s">
        <v>325</v>
      </c>
      <c r="B73" s="77">
        <v>3500</v>
      </c>
      <c r="C73" s="95">
        <f t="shared" ca="1" si="554"/>
        <v>-3.0151368863066494</v>
      </c>
      <c r="D73" s="70">
        <f t="shared" ca="1" si="555"/>
        <v>-2.7494344975507801</v>
      </c>
      <c r="E73" s="71">
        <f t="shared" ca="1" si="556"/>
        <v>-3.0151368863066508</v>
      </c>
      <c r="F73" s="177">
        <v>45.046444550455462</v>
      </c>
      <c r="G73" s="177">
        <v>1.9635146383916122</v>
      </c>
      <c r="H73" s="177">
        <v>9.9495228010374586</v>
      </c>
      <c r="I73" s="177">
        <v>12.19543893005665</v>
      </c>
      <c r="J73" s="177">
        <v>0.13928732119590834</v>
      </c>
      <c r="K73" s="177">
        <v>20.39</v>
      </c>
      <c r="L73" s="177">
        <v>7.8217180212905504</v>
      </c>
      <c r="M73" s="177">
        <v>1.7846417544244226</v>
      </c>
      <c r="N73" s="177">
        <v>0.3881234880682588</v>
      </c>
      <c r="O73" s="328">
        <v>0.01</v>
      </c>
      <c r="P73" s="177">
        <v>0.3</v>
      </c>
      <c r="Q73" s="84"/>
      <c r="R73" s="72">
        <f t="shared" si="557"/>
        <v>99.98869150492034</v>
      </c>
      <c r="S73" s="106">
        <f t="shared" ca="1" si="558"/>
        <v>3.4265295217514842</v>
      </c>
      <c r="T73" s="104">
        <f t="shared" ca="1" si="559"/>
        <v>0.3483146576561193</v>
      </c>
      <c r="U73" s="107">
        <f t="shared" ca="1" si="560"/>
        <v>1661.161685464574</v>
      </c>
      <c r="V73" s="107">
        <f t="shared" ca="1" si="561"/>
        <v>1606.0330969018721</v>
      </c>
      <c r="W73" s="105">
        <f t="shared" ca="1" si="562"/>
        <v>1614.2643670533485</v>
      </c>
      <c r="X73" s="102">
        <f t="shared" ca="1" si="563"/>
        <v>1701.1720847197221</v>
      </c>
      <c r="Y73" s="102">
        <f t="shared" ca="1" si="564"/>
        <v>1590.2151073295825</v>
      </c>
      <c r="Z73" s="103">
        <f t="shared" ca="1" si="565"/>
        <v>1664.0377272717355</v>
      </c>
      <c r="AA73" s="103">
        <f t="shared" ca="1" si="566"/>
        <v>1648.5277143268211</v>
      </c>
      <c r="AB73" s="103">
        <f t="shared" ca="1" si="567"/>
        <v>58.571257967059317</v>
      </c>
      <c r="AC73" s="4">
        <v>13.3</v>
      </c>
      <c r="AD73" s="273">
        <f t="shared" ca="1" si="568"/>
        <v>12.522821028597662</v>
      </c>
      <c r="AE73" s="3">
        <f t="shared" ca="1" si="569"/>
        <v>119.06525264338893</v>
      </c>
      <c r="AF73" s="3">
        <f t="shared" ca="1" si="570"/>
        <v>214.14935652937746</v>
      </c>
      <c r="AG73" s="2">
        <f t="shared" ca="1" si="571"/>
        <v>555.99164327657138</v>
      </c>
      <c r="AH73" s="2">
        <f t="shared" ca="1" si="572"/>
        <v>85.40443337505063</v>
      </c>
      <c r="AI73" s="87">
        <f t="shared" si="573"/>
        <v>0.42085872459961005</v>
      </c>
      <c r="AJ73" s="87">
        <f t="shared" ca="1" si="574"/>
        <v>3.4265295217514726</v>
      </c>
      <c r="AK73" s="87">
        <f t="shared" ca="1" si="575"/>
        <v>0.28478338505022799</v>
      </c>
      <c r="AL73" s="86">
        <f t="shared" ca="1" si="576"/>
        <v>0.26923703961294237</v>
      </c>
      <c r="AM73" s="87">
        <f t="shared" ca="1" si="577"/>
        <v>0.34831465765611919</v>
      </c>
      <c r="AN73" s="87">
        <f t="shared" ca="1" si="578"/>
        <v>0.34831465765611913</v>
      </c>
      <c r="AO73" s="96">
        <f t="shared" ca="1" si="579"/>
        <v>41.176861768532973</v>
      </c>
      <c r="AP73" s="96">
        <f t="shared" ca="1" si="580"/>
        <v>8.1586560539670163</v>
      </c>
      <c r="AQ73" s="96">
        <f t="shared" ca="1" si="581"/>
        <v>50.664482177500005</v>
      </c>
      <c r="AR73" s="73"/>
      <c r="AS73" s="53">
        <f t="shared" ref="AS73:AS79" ca="1" si="744">100*(1/FH73/(1+1/FH73))</f>
        <v>79.408479373551856</v>
      </c>
      <c r="AT73" s="68">
        <f t="shared" ca="1" si="582"/>
        <v>91.716029640649865</v>
      </c>
      <c r="AU73" s="74">
        <f t="shared" ca="1" si="583"/>
        <v>0.34831465765611913</v>
      </c>
      <c r="AV73" s="68">
        <f t="shared" si="584"/>
        <v>2.2112871639448164</v>
      </c>
      <c r="AW73" s="68">
        <f t="shared" ca="1" si="585"/>
        <v>2.2439526015242719</v>
      </c>
      <c r="AX73" s="69">
        <f t="shared" ca="1" si="586"/>
        <v>1667.5341579790097</v>
      </c>
      <c r="AY73" s="69">
        <f t="shared" ca="1" si="587"/>
        <v>1661.1616854645754</v>
      </c>
      <c r="AZ73" s="69">
        <f t="shared" ca="1" si="588"/>
        <v>1606.0330969018735</v>
      </c>
      <c r="BA73" s="75"/>
      <c r="BB73" s="74">
        <f t="shared" ca="1" si="589"/>
        <v>0.15360740472958045</v>
      </c>
      <c r="BC73" s="74">
        <f t="shared" ca="1" si="590"/>
        <v>1.8822613913170194E-2</v>
      </c>
      <c r="BD73" s="68">
        <f t="shared" si="591"/>
        <v>4.412702516239822E-2</v>
      </c>
      <c r="BE73" s="68">
        <f t="shared" ca="1" si="592"/>
        <v>0.20867837825470154</v>
      </c>
      <c r="BF73" s="68">
        <f t="shared" ca="1" si="593"/>
        <v>0.17956503312184147</v>
      </c>
      <c r="BH73" s="68">
        <f t="shared" ca="1" si="594"/>
        <v>0.10457409626605546</v>
      </c>
      <c r="BI73" s="68">
        <f t="shared" ca="1" si="595"/>
        <v>0.18205918237938332</v>
      </c>
      <c r="BK73" s="53">
        <f t="shared" ca="1" si="596"/>
        <v>0.59402451655329636</v>
      </c>
      <c r="BL73" s="53">
        <f t="shared" si="597"/>
        <v>3.9967998582824578E-2</v>
      </c>
      <c r="BM73" s="53">
        <f t="shared" si="598"/>
        <v>4.4029264200257864E-2</v>
      </c>
      <c r="BN73" s="53">
        <f t="shared" si="599"/>
        <v>0.31202697122096479</v>
      </c>
      <c r="BO73" s="53">
        <f t="shared" si="600"/>
        <v>0.22365372146698398</v>
      </c>
      <c r="BP73" s="53">
        <f t="shared" si="601"/>
        <v>0.18995741868121052</v>
      </c>
      <c r="BQ73" s="54">
        <f t="shared" si="602"/>
        <v>1450.995664</v>
      </c>
      <c r="BR73" s="262">
        <f t="shared" si="603"/>
        <v>5.056511486636567</v>
      </c>
      <c r="BS73" s="54">
        <f t="shared" si="604"/>
        <v>1674.0059154468934</v>
      </c>
      <c r="BT73" s="67"/>
      <c r="BU73" s="73">
        <f t="shared" si="605"/>
        <v>0.7497743766720284</v>
      </c>
      <c r="BV73" s="73">
        <f t="shared" si="606"/>
        <v>2.4574651294012668E-2</v>
      </c>
      <c r="BW73" s="73">
        <f t="shared" si="607"/>
        <v>0.19516521775279441</v>
      </c>
      <c r="BX73" s="73">
        <f t="shared" si="608"/>
        <v>0.16973471023043354</v>
      </c>
      <c r="BY73" s="73">
        <f t="shared" si="609"/>
        <v>1.9634525119242787E-3</v>
      </c>
      <c r="BZ73" s="73">
        <f t="shared" si="610"/>
        <v>0.50595533498759315</v>
      </c>
      <c r="CA73" s="73">
        <f t="shared" si="611"/>
        <v>0.13947428711288429</v>
      </c>
      <c r="CB73" s="73">
        <f t="shared" si="612"/>
        <v>5.7587665518697088E-2</v>
      </c>
      <c r="CC73" s="73">
        <f t="shared" si="613"/>
        <v>8.2404137594110152E-3</v>
      </c>
      <c r="CD73" s="73">
        <f t="shared" si="614"/>
        <v>1.3158760444766102E-4</v>
      </c>
      <c r="CE73" s="73">
        <f t="shared" si="615"/>
        <v>4.2271382274200369E-3</v>
      </c>
      <c r="CF73" s="73">
        <f t="shared" si="616"/>
        <v>1.8568288356716465</v>
      </c>
      <c r="CG73" s="73">
        <f t="shared" si="617"/>
        <v>0.40379294109832276</v>
      </c>
      <c r="CH73" s="73">
        <f t="shared" si="618"/>
        <v>1.3234742385462578E-2</v>
      </c>
      <c r="CI73" s="73">
        <f t="shared" si="619"/>
        <v>0.10510673574400833</v>
      </c>
      <c r="CJ73" s="73">
        <f t="shared" si="620"/>
        <v>9.1411069760254787E-2</v>
      </c>
      <c r="CK73" s="73">
        <f t="shared" si="621"/>
        <v>1.0574224582278553E-3</v>
      </c>
      <c r="CL73" s="73">
        <f t="shared" si="622"/>
        <v>0.27248356190277523</v>
      </c>
      <c r="CM73" s="73">
        <f t="shared" si="623"/>
        <v>7.5114240167664173E-2</v>
      </c>
      <c r="CN73" s="73">
        <f t="shared" si="624"/>
        <v>3.1013987079679669E-2</v>
      </c>
      <c r="CO73" s="73">
        <f t="shared" si="625"/>
        <v>4.437896267606334E-3</v>
      </c>
      <c r="CP73" s="73">
        <f t="shared" si="626"/>
        <v>7.0866846701065768E-5</v>
      </c>
      <c r="CQ73" s="73">
        <f t="shared" si="627"/>
        <v>2.2765362892972359E-3</v>
      </c>
      <c r="CR73" s="73"/>
      <c r="CS73" s="73">
        <f t="shared" ca="1" si="628"/>
        <v>0.68536720653350491</v>
      </c>
      <c r="CT73" s="73">
        <f t="shared" ca="1" si="629"/>
        <v>0.11355123248388332</v>
      </c>
      <c r="CU73" s="73">
        <f t="shared" ca="1" si="630"/>
        <v>1.2571831805831268</v>
      </c>
      <c r="CV73" s="73">
        <f t="shared" ca="1" si="631"/>
        <v>2.0561016196005149</v>
      </c>
      <c r="CW73" s="73">
        <f t="shared" ca="1" si="632"/>
        <v>0.33333333333333331</v>
      </c>
      <c r="CX73" s="73">
        <f t="shared" ca="1" si="633"/>
        <v>5.5226469062334319E-2</v>
      </c>
      <c r="CY73" s="73">
        <f t="shared" ca="1" si="634"/>
        <v>0.61144019760433244</v>
      </c>
      <c r="CZ73" s="73">
        <f t="shared" si="635"/>
        <v>0.44006629428892208</v>
      </c>
      <c r="DA73" s="73">
        <f t="shared" si="636"/>
        <v>0.40379294109832276</v>
      </c>
      <c r="DB73" s="73">
        <f t="shared" si="637"/>
        <v>-0.4819396041807002</v>
      </c>
      <c r="DC73" s="73"/>
      <c r="DD73" s="73">
        <f t="shared" ca="1" si="638"/>
        <v>1667.5341579790097</v>
      </c>
      <c r="DE73" s="73">
        <f t="shared" ca="1" si="639"/>
        <v>15296.669072260014</v>
      </c>
      <c r="DF73" s="73">
        <f t="shared" si="640"/>
        <v>7.8821012730838449</v>
      </c>
      <c r="DG73" s="73">
        <f t="shared" si="641"/>
        <v>1725.7968821631257</v>
      </c>
      <c r="DH73" s="73">
        <f t="shared" si="642"/>
        <v>1452.6468821631256</v>
      </c>
      <c r="DI73" s="73">
        <f t="shared" si="449"/>
        <v>13602.905801982104</v>
      </c>
      <c r="DJ73" s="73">
        <f t="shared" si="643"/>
        <v>7.8821012730838449</v>
      </c>
      <c r="DK73" s="73">
        <f t="shared" si="644"/>
        <v>1725.7968821631257</v>
      </c>
      <c r="DL73" s="73">
        <f t="shared" ca="1" si="645"/>
        <v>3.4265295217514842</v>
      </c>
      <c r="DM73" s="73">
        <f t="shared" si="646"/>
        <v>-0.4819396041807002</v>
      </c>
      <c r="DN73" s="73">
        <f t="shared" si="647"/>
        <v>0.44006629428892208</v>
      </c>
      <c r="DO73" s="73">
        <f t="shared" si="648"/>
        <v>0.40379294109832276</v>
      </c>
      <c r="DP73" s="73">
        <f t="shared" si="649"/>
        <v>2.2112871639448164</v>
      </c>
      <c r="DQ73" s="73">
        <f t="shared" ca="1" si="650"/>
        <v>15296.733542601754</v>
      </c>
      <c r="DR73" s="73">
        <f t="shared" si="651"/>
        <v>7.8818780459117095</v>
      </c>
      <c r="DS73" s="73">
        <f t="shared" ca="1" si="652"/>
        <v>1667.5973007700359</v>
      </c>
      <c r="DT73" s="73">
        <f t="shared" si="653"/>
        <v>1452.7139820056373</v>
      </c>
      <c r="DU73" s="73">
        <f t="shared" ca="1" si="654"/>
        <v>1614.2643670533485</v>
      </c>
      <c r="DV73" s="76">
        <f t="shared" ca="1" si="655"/>
        <v>2.2439526015242719</v>
      </c>
      <c r="DW73" s="73">
        <f t="shared" ca="1" si="656"/>
        <v>2.8551019229684829</v>
      </c>
      <c r="DX73" s="73">
        <f t="shared" ca="1" si="657"/>
        <v>4618.7675113532896</v>
      </c>
      <c r="DY73" s="73">
        <f t="shared" ca="1" si="658"/>
        <v>1617.7242129945059</v>
      </c>
      <c r="DZ73" s="73">
        <f t="shared" ca="1" si="659"/>
        <v>3.5312975889603799</v>
      </c>
      <c r="EA73" s="73"/>
      <c r="EB73" s="73">
        <f t="shared" si="660"/>
        <v>0.7497743766720284</v>
      </c>
      <c r="EC73" s="73">
        <f t="shared" si="661"/>
        <v>2.4574651294012668E-2</v>
      </c>
      <c r="ED73" s="73">
        <f t="shared" si="662"/>
        <v>9.7582608876397206E-2</v>
      </c>
      <c r="EE73" s="73">
        <f t="shared" si="663"/>
        <v>0.16973471023043354</v>
      </c>
      <c r="EF73" s="73">
        <f t="shared" si="664"/>
        <v>1.9634525119242787E-3</v>
      </c>
      <c r="EG73" s="73">
        <f t="shared" si="665"/>
        <v>0.50595533498759315</v>
      </c>
      <c r="EH73" s="73">
        <f t="shared" si="666"/>
        <v>0.13947428711288429</v>
      </c>
      <c r="EI73" s="73">
        <f t="shared" si="667"/>
        <v>2.8793832759348544E-2</v>
      </c>
      <c r="EJ73" s="73">
        <f t="shared" si="668"/>
        <v>4.1202068797055076E-3</v>
      </c>
      <c r="EK73" s="73">
        <f t="shared" si="669"/>
        <v>6.5793802223830508E-5</v>
      </c>
      <c r="EL73" s="73">
        <f t="shared" si="670"/>
        <v>2.1135691137100184E-3</v>
      </c>
      <c r="EM73" s="73">
        <f t="shared" si="671"/>
        <v>1.7241528242402615</v>
      </c>
      <c r="EN73" s="73">
        <f t="shared" si="672"/>
        <v>0.43486538207679609</v>
      </c>
      <c r="EO73" s="73">
        <f t="shared" si="673"/>
        <v>1.4253174630758937E-2</v>
      </c>
      <c r="EP73" s="73">
        <f t="shared" si="674"/>
        <v>5.6597424256400498E-2</v>
      </c>
      <c r="EQ73" s="73">
        <f t="shared" si="675"/>
        <v>9.8445281557466471E-2</v>
      </c>
      <c r="ER73" s="73">
        <f t="shared" si="676"/>
        <v>1.1387926199578412E-3</v>
      </c>
      <c r="ES73" s="73">
        <f t="shared" si="677"/>
        <v>0.29345155944081674</v>
      </c>
      <c r="ET73" s="73">
        <f t="shared" si="678"/>
        <v>8.0894387754950239E-2</v>
      </c>
      <c r="EU73" s="73">
        <f t="shared" si="679"/>
        <v>1.6700278742423188E-2</v>
      </c>
      <c r="EV73" s="73">
        <f t="shared" si="680"/>
        <v>2.3896993478643947E-3</v>
      </c>
      <c r="EW73" s="73">
        <f t="shared" si="681"/>
        <v>3.816007566082327E-5</v>
      </c>
      <c r="EX73" s="73">
        <f t="shared" si="682"/>
        <v>1.2258594969047196E-3</v>
      </c>
      <c r="EY73" s="73">
        <f t="shared" si="683"/>
        <v>0.99999999999999989</v>
      </c>
      <c r="EZ73" s="73">
        <f t="shared" si="684"/>
        <v>0.10510673574400833</v>
      </c>
      <c r="FA73" s="73">
        <f t="shared" si="685"/>
        <v>0.52213441922779369</v>
      </c>
      <c r="FB73" s="73">
        <f t="shared" si="686"/>
        <v>1.4553053475394429</v>
      </c>
      <c r="FC73" s="73">
        <f t="shared" si="687"/>
        <v>0.82207301816771094</v>
      </c>
      <c r="FD73" s="73">
        <f t="shared" si="688"/>
        <v>1.5744470923474245</v>
      </c>
      <c r="FE73" s="73">
        <f t="shared" ca="1" si="689"/>
        <v>0.14685501325683092</v>
      </c>
      <c r="FF73" s="73">
        <f t="shared" ca="1" si="690"/>
        <v>1.1174979579584731E-2</v>
      </c>
      <c r="FG73" s="73">
        <f t="shared" ca="1" si="691"/>
        <v>7.6095322398297013E-2</v>
      </c>
      <c r="FH73" s="73">
        <f t="shared" ca="1" si="692"/>
        <v>0.25931135804253208</v>
      </c>
      <c r="FI73" s="73">
        <f t="shared" ca="1" si="693"/>
        <v>9.0321946902927996E-2</v>
      </c>
      <c r="FJ73" s="73">
        <f t="shared" ca="1" si="694"/>
        <v>0.34831465765611952</v>
      </c>
      <c r="FK73" s="73">
        <f t="shared" ca="1" si="695"/>
        <v>9.0321946902927983E-2</v>
      </c>
      <c r="FL73" s="73">
        <f t="shared" ca="1" si="696"/>
        <v>9.0321946902927913E-2</v>
      </c>
      <c r="FM73" s="73"/>
      <c r="FN73" s="73"/>
      <c r="FO73" s="73"/>
      <c r="FP73" s="73">
        <f t="shared" ca="1" si="697"/>
        <v>1.8343205928129971</v>
      </c>
      <c r="FQ73" s="73">
        <f t="shared" ca="1" si="698"/>
        <v>0.16567940718700291</v>
      </c>
      <c r="FR73" s="73">
        <f t="shared" si="479"/>
        <v>0.33333333333333331</v>
      </c>
      <c r="FS73" s="73">
        <f t="shared" ca="1" si="699"/>
        <v>5.5226469062334305E-2</v>
      </c>
      <c r="FT73" s="73">
        <f t="shared" ca="1" si="700"/>
        <v>0.61144019760433233</v>
      </c>
      <c r="FU73" s="73">
        <f t="shared" si="701"/>
        <v>20.026666666666664</v>
      </c>
      <c r="FV73" s="73">
        <f t="shared" ca="1" si="702"/>
        <v>3.9680218021287197</v>
      </c>
      <c r="FW73" s="73">
        <f t="shared" ca="1" si="703"/>
        <v>24.641039963454592</v>
      </c>
      <c r="FX73" s="73">
        <f t="shared" ca="1" si="704"/>
        <v>48.635728432249977</v>
      </c>
      <c r="FY73" s="73">
        <f t="shared" ca="1" si="705"/>
        <v>41.176861768532973</v>
      </c>
      <c r="FZ73" s="73">
        <f t="shared" ca="1" si="706"/>
        <v>8.1586560539670163</v>
      </c>
      <c r="GA73" s="73">
        <f t="shared" ca="1" si="707"/>
        <v>50.664482177500005</v>
      </c>
      <c r="GB73" s="73">
        <f t="shared" ca="1" si="708"/>
        <v>91.71602964064985</v>
      </c>
      <c r="GC73" s="73">
        <f t="shared" ca="1" si="709"/>
        <v>3426529521.7514844</v>
      </c>
      <c r="GD73" s="2">
        <f t="shared" si="743"/>
        <v>38</v>
      </c>
      <c r="GE73">
        <f t="shared" ca="1" si="710"/>
        <v>1515.6882562634878</v>
      </c>
      <c r="GF73">
        <f t="shared" ca="1" si="711"/>
        <v>1515.4591757490027</v>
      </c>
      <c r="GG73">
        <f t="shared" ca="1" si="712"/>
        <v>1846.6913786295113</v>
      </c>
      <c r="GH73" s="2">
        <f t="shared" ca="1" si="713"/>
        <v>0.43988026661807766</v>
      </c>
      <c r="GI73" s="2">
        <f t="shared" ca="1" si="714"/>
        <v>1.1601880844310517</v>
      </c>
      <c r="GJ73" s="2">
        <f t="shared" ca="1" si="715"/>
        <v>-1.5140251135581515</v>
      </c>
      <c r="GK73" s="2">
        <f t="shared" ca="1" si="716"/>
        <v>1.3594104996053475</v>
      </c>
      <c r="GL73" s="2">
        <f t="shared" ca="1" si="717"/>
        <v>-0.43988026661807766</v>
      </c>
      <c r="GM73">
        <f t="shared" ca="1" si="718"/>
        <v>0.37124550531221451</v>
      </c>
      <c r="GN73">
        <f t="shared" ca="1" si="719"/>
        <v>5.1166252888524159E-2</v>
      </c>
      <c r="GO73">
        <f t="shared" ca="1" si="720"/>
        <v>-0.15841962813545185</v>
      </c>
      <c r="GP73">
        <f t="shared" ca="1" si="721"/>
        <v>-0.1617908154842779</v>
      </c>
      <c r="GQ73">
        <f t="shared" ca="1" si="722"/>
        <v>0.28448313558655697</v>
      </c>
      <c r="GR73">
        <f t="shared" ca="1" si="723"/>
        <v>0.13782322521452148</v>
      </c>
      <c r="GS73">
        <f t="shared" ca="1" si="724"/>
        <v>5.4537440237350215E-2</v>
      </c>
      <c r="GT73">
        <f t="shared" ca="1" si="725"/>
        <v>3.1545269768340303E-3</v>
      </c>
      <c r="GU73">
        <f t="shared" ca="1" si="726"/>
        <v>0.51022221783761179</v>
      </c>
      <c r="GV73">
        <f t="shared" ca="1" si="727"/>
        <v>-0.28744320659652828</v>
      </c>
      <c r="GW73">
        <f t="shared" ca="1" si="728"/>
        <v>0.59402451655329802</v>
      </c>
      <c r="GY73" s="15">
        <f t="shared" si="729"/>
        <v>0.20458713571619611</v>
      </c>
      <c r="GZ73" s="2">
        <f t="shared" si="730"/>
        <v>7.088875896282025E-2</v>
      </c>
      <c r="HA73" s="2">
        <f t="shared" si="731"/>
        <v>3.8587355241949964E-2</v>
      </c>
      <c r="HB73" s="2">
        <f t="shared" si="732"/>
        <v>0.31406324992096629</v>
      </c>
      <c r="HC73" s="2">
        <f t="shared" si="733"/>
        <v>0.65142017019718246</v>
      </c>
      <c r="HD73" s="2">
        <f t="shared" si="734"/>
        <v>0.22571491246001987</v>
      </c>
      <c r="HE73" s="2">
        <f t="shared" si="735"/>
        <v>0.12286491734279778</v>
      </c>
      <c r="HF73" s="2">
        <f t="shared" si="736"/>
        <v>-1.3838541225029961</v>
      </c>
      <c r="HG73" s="2">
        <f t="shared" si="737"/>
        <v>-1.3676772734848359</v>
      </c>
      <c r="HH73" s="2">
        <f t="shared" si="738"/>
        <v>-1.3757656979939159</v>
      </c>
      <c r="HI73" s="2">
        <f t="shared" si="739"/>
        <v>1.8528512514313045</v>
      </c>
      <c r="HJ73" s="2">
        <f t="shared" si="740"/>
        <v>0.25563990636203732</v>
      </c>
      <c r="HK73" s="2">
        <f t="shared" si="741"/>
        <v>0.34507397973455817</v>
      </c>
      <c r="HL73" s="2">
        <f t="shared" si="742"/>
        <v>0.65762290689136726</v>
      </c>
    </row>
    <row r="74" spans="1:220" ht="20.25">
      <c r="A74" s="150" t="s">
        <v>326</v>
      </c>
      <c r="B74" s="77">
        <v>3500</v>
      </c>
      <c r="C74" s="95">
        <f t="shared" ca="1" si="554"/>
        <v>-3.1829225253390523</v>
      </c>
      <c r="D74" s="70">
        <f t="shared" ca="1" si="555"/>
        <v>-2.9469557426261126</v>
      </c>
      <c r="E74" s="71">
        <f t="shared" ca="1" si="556"/>
        <v>-3.1829225253390456</v>
      </c>
      <c r="F74" s="177">
        <v>44.804696922213587</v>
      </c>
      <c r="G74" s="177">
        <v>2.5773979801190126</v>
      </c>
      <c r="H74" s="177">
        <v>9.6370517665315045</v>
      </c>
      <c r="I74" s="177">
        <v>11.763103738605825</v>
      </c>
      <c r="J74" s="177">
        <v>0.14512411295867372</v>
      </c>
      <c r="K74" s="177">
        <v>19.440000000000001</v>
      </c>
      <c r="L74" s="177">
        <v>8.4735515950863594</v>
      </c>
      <c r="M74" s="177">
        <v>1.8805337601224921</v>
      </c>
      <c r="N74" s="177">
        <v>0.86244350631076372</v>
      </c>
      <c r="O74" s="328">
        <v>0.01</v>
      </c>
      <c r="P74" s="177">
        <v>0.4</v>
      </c>
      <c r="Q74" s="84"/>
      <c r="R74" s="72">
        <f t="shared" si="557"/>
        <v>99.993903381948229</v>
      </c>
      <c r="S74" s="106">
        <f t="shared" ca="1" si="558"/>
        <v>3.2956902380943638</v>
      </c>
      <c r="T74" s="104">
        <f t="shared" ca="1" si="559"/>
        <v>0.34564607969513522</v>
      </c>
      <c r="U74" s="107">
        <f t="shared" ca="1" si="560"/>
        <v>1638.7083052865335</v>
      </c>
      <c r="V74" s="107">
        <f t="shared" ca="1" si="561"/>
        <v>1586.2213975842826</v>
      </c>
      <c r="W74" s="105">
        <f t="shared" ca="1" si="562"/>
        <v>1595.3281956837711</v>
      </c>
      <c r="X74" s="102">
        <f t="shared" ca="1" si="563"/>
        <v>1653.1606607211829</v>
      </c>
      <c r="Y74" s="102">
        <f t="shared" ca="1" si="564"/>
        <v>1559.935103837224</v>
      </c>
      <c r="Z74" s="103">
        <f t="shared" ca="1" si="565"/>
        <v>1619.6393075356973</v>
      </c>
      <c r="AA74" s="103">
        <f t="shared" ca="1" si="566"/>
        <v>1608.5178416134381</v>
      </c>
      <c r="AB74" s="103">
        <f t="shared" ca="1" si="567"/>
        <v>48.513571194974148</v>
      </c>
      <c r="AC74" s="4">
        <v>13.3</v>
      </c>
      <c r="AD74" s="273">
        <f t="shared" ca="1" si="568"/>
        <v>12.37652002932678</v>
      </c>
      <c r="AE74" s="3">
        <f t="shared" ca="1" si="569"/>
        <v>117.84507666141693</v>
      </c>
      <c r="AF74" s="3">
        <f t="shared" ca="1" si="570"/>
        <v>214.00785385634038</v>
      </c>
      <c r="AG74" s="2">
        <f t="shared" ca="1" si="571"/>
        <v>550.65771904111614</v>
      </c>
      <c r="AH74" s="2">
        <f t="shared" ca="1" si="572"/>
        <v>63.08562027138742</v>
      </c>
      <c r="AI74" s="87">
        <f t="shared" si="573"/>
        <v>0.41516216502497022</v>
      </c>
      <c r="AJ74" s="87">
        <f t="shared" ca="1" si="574"/>
        <v>3.2956902380943469</v>
      </c>
      <c r="AK74" s="87">
        <f t="shared" ca="1" si="575"/>
        <v>0.27796517848964308</v>
      </c>
      <c r="AL74" s="86">
        <f t="shared" ca="1" si="576"/>
        <v>0.26245573354615326</v>
      </c>
      <c r="AM74" s="87">
        <f t="shared" ca="1" si="577"/>
        <v>0.34564607969513528</v>
      </c>
      <c r="AN74" s="87">
        <f t="shared" ca="1" si="578"/>
        <v>0.34564607969513433</v>
      </c>
      <c r="AO74" s="96">
        <f t="shared" ca="1" si="579"/>
        <v>41.195557388886947</v>
      </c>
      <c r="AP74" s="96">
        <f t="shared" ca="1" si="580"/>
        <v>8.0589618924792941</v>
      </c>
      <c r="AQ74" s="96">
        <f t="shared" ca="1" si="581"/>
        <v>50.745480718633743</v>
      </c>
      <c r="AR74" s="73"/>
      <c r="AS74" s="53">
        <f t="shared" ca="1" si="744"/>
        <v>79.509693728199267</v>
      </c>
      <c r="AT74" s="68">
        <f t="shared" ca="1" si="582"/>
        <v>91.820968615514587</v>
      </c>
      <c r="AU74" s="74">
        <f t="shared" ca="1" si="583"/>
        <v>0.34564607969513433</v>
      </c>
      <c r="AV74" s="68">
        <f t="shared" si="584"/>
        <v>2.3097613320614108</v>
      </c>
      <c r="AW74" s="68">
        <f t="shared" ca="1" si="585"/>
        <v>2.3489677746247781</v>
      </c>
      <c r="AX74" s="69">
        <f t="shared" ca="1" si="586"/>
        <v>1644.0674108752437</v>
      </c>
      <c r="AY74" s="69">
        <f t="shared" ca="1" si="587"/>
        <v>1638.7083052865339</v>
      </c>
      <c r="AZ74" s="69">
        <f t="shared" ca="1" si="588"/>
        <v>1586.2213975842824</v>
      </c>
      <c r="BA74" s="75"/>
      <c r="BB74" s="74">
        <f t="shared" ca="1" si="589"/>
        <v>0.11456412593514828</v>
      </c>
      <c r="BC74" s="74">
        <f t="shared" ca="1" si="590"/>
        <v>2.8436678143367131E-2</v>
      </c>
      <c r="BD74" s="68">
        <f t="shared" si="591"/>
        <v>2.6021631943640072E-2</v>
      </c>
      <c r="BE74" s="68">
        <f t="shared" ca="1" si="592"/>
        <v>0.11387119597531031</v>
      </c>
      <c r="BF74" s="68">
        <f t="shared" ca="1" si="593"/>
        <v>0.16427694394713588</v>
      </c>
      <c r="BH74" s="68">
        <f t="shared" ca="1" si="594"/>
        <v>7.8659415966590415E-2</v>
      </c>
      <c r="BI74" s="68">
        <f t="shared" ca="1" si="595"/>
        <v>0.15408673187450145</v>
      </c>
      <c r="BK74" s="53">
        <f t="shared" ca="1" si="596"/>
        <v>0.53884756639083453</v>
      </c>
      <c r="BL74" s="53">
        <f t="shared" si="597"/>
        <v>2.4694560039821387E-2</v>
      </c>
      <c r="BM74" s="53">
        <f t="shared" si="598"/>
        <v>2.4696354430721264E-2</v>
      </c>
      <c r="BN74" s="53">
        <f t="shared" si="599"/>
        <v>0.30461011234318014</v>
      </c>
      <c r="BO74" s="53">
        <f t="shared" si="600"/>
        <v>0.18356569708140863</v>
      </c>
      <c r="BP74" s="53">
        <f t="shared" si="601"/>
        <v>0.14913042190330117</v>
      </c>
      <c r="BQ74" s="54">
        <f t="shared" si="602"/>
        <v>1433.8698240000001</v>
      </c>
      <c r="BR74" s="262">
        <f t="shared" si="603"/>
        <v>4.4950956392428427</v>
      </c>
      <c r="BS74" s="54">
        <f t="shared" si="604"/>
        <v>1637.4764731321109</v>
      </c>
      <c r="BT74" s="67"/>
      <c r="BU74" s="73">
        <f t="shared" si="605"/>
        <v>0.74575061455082536</v>
      </c>
      <c r="BV74" s="73">
        <f t="shared" si="606"/>
        <v>3.2257796997734824E-2</v>
      </c>
      <c r="BW74" s="73">
        <f t="shared" si="607"/>
        <v>0.18903593108143399</v>
      </c>
      <c r="BX74" s="73">
        <f t="shared" si="608"/>
        <v>0.16371751897850836</v>
      </c>
      <c r="BY74" s="73">
        <f t="shared" si="609"/>
        <v>2.0457303772014905E-3</v>
      </c>
      <c r="BZ74" s="73">
        <f t="shared" si="610"/>
        <v>0.48238213399503727</v>
      </c>
      <c r="CA74" s="73">
        <f t="shared" si="611"/>
        <v>0.15109756767272395</v>
      </c>
      <c r="CB74" s="73">
        <f t="shared" si="612"/>
        <v>6.0681954182719981E-2</v>
      </c>
      <c r="CC74" s="73">
        <f t="shared" si="613"/>
        <v>1.8310902469442968E-2</v>
      </c>
      <c r="CD74" s="73">
        <f t="shared" si="614"/>
        <v>1.3158760444766102E-4</v>
      </c>
      <c r="CE74" s="73">
        <f t="shared" si="615"/>
        <v>5.6361843032267161E-3</v>
      </c>
      <c r="CF74" s="73">
        <f t="shared" si="616"/>
        <v>1.8510479222133025</v>
      </c>
      <c r="CG74" s="73">
        <f t="shared" si="617"/>
        <v>0.40288023103104187</v>
      </c>
      <c r="CH74" s="73">
        <f t="shared" si="618"/>
        <v>1.742677572559229E-2</v>
      </c>
      <c r="CI74" s="73">
        <f t="shared" si="619"/>
        <v>0.10212373694539646</v>
      </c>
      <c r="CJ74" s="73">
        <f t="shared" si="620"/>
        <v>8.8445856540953799E-2</v>
      </c>
      <c r="CK74" s="73">
        <f t="shared" si="621"/>
        <v>1.1051741841212872E-3</v>
      </c>
      <c r="CL74" s="73">
        <f t="shared" si="622"/>
        <v>0.26059948432791075</v>
      </c>
      <c r="CM74" s="73">
        <f t="shared" si="623"/>
        <v>8.1628123107723882E-2</v>
      </c>
      <c r="CN74" s="73">
        <f t="shared" si="624"/>
        <v>3.2782486857586279E-2</v>
      </c>
      <c r="CO74" s="73">
        <f t="shared" si="625"/>
        <v>9.8921817472713384E-3</v>
      </c>
      <c r="CP74" s="73">
        <f t="shared" si="626"/>
        <v>7.1088167339461103E-5</v>
      </c>
      <c r="CQ74" s="73">
        <f t="shared" si="627"/>
        <v>3.0448613650626163E-3</v>
      </c>
      <c r="CR74" s="73"/>
      <c r="CS74" s="73">
        <f t="shared" ca="1" si="628"/>
        <v>0.68567838530104774</v>
      </c>
      <c r="CT74" s="73">
        <f t="shared" ca="1" si="629"/>
        <v>0.11216370066081134</v>
      </c>
      <c r="CU74" s="73">
        <f t="shared" ca="1" si="630"/>
        <v>1.2591930699412841</v>
      </c>
      <c r="CV74" s="73">
        <f t="shared" ca="1" si="631"/>
        <v>2.0570351559031432</v>
      </c>
      <c r="CW74" s="73">
        <f t="shared" ca="1" si="632"/>
        <v>0.33333333333333331</v>
      </c>
      <c r="CX74" s="73">
        <f t="shared" ca="1" si="633"/>
        <v>5.4526875896569578E-2</v>
      </c>
      <c r="CY74" s="73">
        <f t="shared" ca="1" si="634"/>
        <v>0.61213979077009706</v>
      </c>
      <c r="CZ74" s="73">
        <f t="shared" si="635"/>
        <v>0.43177863816070966</v>
      </c>
      <c r="DA74" s="73">
        <f t="shared" si="636"/>
        <v>0.40288023103104187</v>
      </c>
      <c r="DB74" s="73">
        <f t="shared" si="637"/>
        <v>-0.50009340800044977</v>
      </c>
      <c r="DC74" s="73"/>
      <c r="DD74" s="73">
        <f t="shared" ca="1" si="638"/>
        <v>1644.0674108752437</v>
      </c>
      <c r="DE74" s="73">
        <f t="shared" ca="1" si="639"/>
        <v>15231.992191687652</v>
      </c>
      <c r="DF74" s="73">
        <f t="shared" si="640"/>
        <v>7.944843451392388</v>
      </c>
      <c r="DG74" s="73">
        <f t="shared" si="641"/>
        <v>1712.1678841384976</v>
      </c>
      <c r="DH74" s="73">
        <f t="shared" si="642"/>
        <v>1439.0178841384977</v>
      </c>
      <c r="DI74" s="73">
        <f t="shared" si="449"/>
        <v>13602.905801982104</v>
      </c>
      <c r="DJ74" s="73">
        <f t="shared" si="643"/>
        <v>7.944843451392388</v>
      </c>
      <c r="DK74" s="73">
        <f t="shared" si="644"/>
        <v>1712.1678841384976</v>
      </c>
      <c r="DL74" s="73">
        <f t="shared" ca="1" si="645"/>
        <v>3.2956902380943638</v>
      </c>
      <c r="DM74" s="73">
        <f t="shared" si="646"/>
        <v>-0.50009340800044977</v>
      </c>
      <c r="DN74" s="73">
        <f t="shared" si="647"/>
        <v>0.43177863816070966</v>
      </c>
      <c r="DO74" s="73">
        <f t="shared" si="648"/>
        <v>0.40288023103104187</v>
      </c>
      <c r="DP74" s="73">
        <f t="shared" si="649"/>
        <v>2.3097613320614108</v>
      </c>
      <c r="DQ74" s="73">
        <f t="shared" ca="1" si="650"/>
        <v>15232.059684690039</v>
      </c>
      <c r="DR74" s="73">
        <f t="shared" si="651"/>
        <v>7.9446202242202526</v>
      </c>
      <c r="DS74" s="73">
        <f t="shared" ca="1" si="652"/>
        <v>1644.1297760996854</v>
      </c>
      <c r="DT74" s="73">
        <f t="shared" si="653"/>
        <v>1439.0840711176165</v>
      </c>
      <c r="DU74" s="73">
        <f t="shared" ca="1" si="654"/>
        <v>1595.3281956837711</v>
      </c>
      <c r="DV74" s="76">
        <f t="shared" ca="1" si="655"/>
        <v>2.3489677746247772</v>
      </c>
      <c r="DW74" s="73">
        <f t="shared" ca="1" si="656"/>
        <v>2.8716726996412127</v>
      </c>
      <c r="DX74" s="73">
        <f t="shared" ca="1" si="657"/>
        <v>4611.5595752166182</v>
      </c>
      <c r="DY74" s="73">
        <f t="shared" ca="1" si="658"/>
        <v>1605.8792409708765</v>
      </c>
      <c r="DZ74" s="73">
        <f t="shared" ca="1" si="659"/>
        <v>3.7007443095334911</v>
      </c>
      <c r="EA74" s="73"/>
      <c r="EB74" s="73">
        <f t="shared" si="660"/>
        <v>0.74575061455082536</v>
      </c>
      <c r="EC74" s="73">
        <f t="shared" si="661"/>
        <v>3.2257796997734824E-2</v>
      </c>
      <c r="ED74" s="73">
        <f t="shared" si="662"/>
        <v>9.4517965540716994E-2</v>
      </c>
      <c r="EE74" s="73">
        <f t="shared" si="663"/>
        <v>0.16371751897850836</v>
      </c>
      <c r="EF74" s="73">
        <f t="shared" si="664"/>
        <v>2.0457303772014905E-3</v>
      </c>
      <c r="EG74" s="73">
        <f t="shared" si="665"/>
        <v>0.48238213399503727</v>
      </c>
      <c r="EH74" s="73">
        <f t="shared" si="666"/>
        <v>0.15109756767272395</v>
      </c>
      <c r="EI74" s="73">
        <f t="shared" si="667"/>
        <v>3.0340977091359991E-2</v>
      </c>
      <c r="EJ74" s="73">
        <f t="shared" si="668"/>
        <v>9.1554512347214838E-3</v>
      </c>
      <c r="EK74" s="73">
        <f t="shared" si="669"/>
        <v>6.5793802223830508E-5</v>
      </c>
      <c r="EL74" s="73">
        <f t="shared" si="670"/>
        <v>2.8180921516133581E-3</v>
      </c>
      <c r="EM74" s="73">
        <f t="shared" si="671"/>
        <v>1.7141496423926672</v>
      </c>
      <c r="EN74" s="73">
        <f t="shared" si="672"/>
        <v>0.43505572448732177</v>
      </c>
      <c r="EO74" s="73">
        <f t="shared" si="673"/>
        <v>1.8818541975546731E-2</v>
      </c>
      <c r="EP74" s="73">
        <f t="shared" si="674"/>
        <v>5.5139856639812183E-2</v>
      </c>
      <c r="EQ74" s="73">
        <f t="shared" si="675"/>
        <v>9.5509467160630149E-2</v>
      </c>
      <c r="ER74" s="73">
        <f t="shared" si="676"/>
        <v>1.1934374494551082E-3</v>
      </c>
      <c r="ES74" s="73">
        <f t="shared" si="677"/>
        <v>0.28141191531079646</v>
      </c>
      <c r="ET74" s="73">
        <f t="shared" si="678"/>
        <v>8.8147244520505763E-2</v>
      </c>
      <c r="EU74" s="73">
        <f t="shared" si="679"/>
        <v>1.7700308270058057E-2</v>
      </c>
      <c r="EV74" s="73">
        <f t="shared" si="680"/>
        <v>5.3411038384851856E-3</v>
      </c>
      <c r="EW74" s="73">
        <f t="shared" si="681"/>
        <v>3.8382764606241338E-5</v>
      </c>
      <c r="EX74" s="73">
        <f t="shared" si="682"/>
        <v>1.6440175827821958E-3</v>
      </c>
      <c r="EY74" s="73">
        <f t="shared" si="683"/>
        <v>0.99999999999999978</v>
      </c>
      <c r="EZ74" s="73">
        <f t="shared" si="684"/>
        <v>0.10212373694539646</v>
      </c>
      <c r="FA74" s="73">
        <f t="shared" si="685"/>
        <v>0.52243074370203069</v>
      </c>
      <c r="FB74" s="73">
        <f t="shared" si="686"/>
        <v>1.4546343770581671</v>
      </c>
      <c r="FC74" s="73">
        <f t="shared" si="687"/>
        <v>0.81954577930821149</v>
      </c>
      <c r="FD74" s="73">
        <f t="shared" si="688"/>
        <v>1.5687165986840179</v>
      </c>
      <c r="FE74" s="73">
        <f t="shared" ca="1" si="689"/>
        <v>0.15848452808586108</v>
      </c>
      <c r="FF74" s="73">
        <f t="shared" ca="1" si="690"/>
        <v>1.1493643498872613E-2</v>
      </c>
      <c r="FG74" s="73">
        <f t="shared" ca="1" si="691"/>
        <v>7.2522180162884919E-2</v>
      </c>
      <c r="FH74" s="73">
        <f t="shared" ca="1" si="692"/>
        <v>0.25770827821128361</v>
      </c>
      <c r="FI74" s="73">
        <f t="shared" ca="1" si="693"/>
        <v>8.907585606871353E-2</v>
      </c>
      <c r="FJ74" s="73">
        <f t="shared" ca="1" si="694"/>
        <v>0.34564607969513567</v>
      </c>
      <c r="FK74" s="73">
        <f t="shared" ca="1" si="695"/>
        <v>8.9075856068713516E-2</v>
      </c>
      <c r="FL74" s="73">
        <f t="shared" ca="1" si="696"/>
        <v>8.9075856068713433E-2</v>
      </c>
      <c r="FM74" s="73"/>
      <c r="FN74" s="73"/>
      <c r="FO74" s="73"/>
      <c r="FP74" s="73">
        <f t="shared" ca="1" si="697"/>
        <v>1.8364193723102913</v>
      </c>
      <c r="FQ74" s="73">
        <f t="shared" ca="1" si="698"/>
        <v>0.16358062768970871</v>
      </c>
      <c r="FR74" s="73">
        <f t="shared" si="479"/>
        <v>0.33333333333333331</v>
      </c>
      <c r="FS74" s="73">
        <f t="shared" ca="1" si="699"/>
        <v>5.4526875896569571E-2</v>
      </c>
      <c r="FT74" s="73">
        <f t="shared" ca="1" si="700"/>
        <v>0.61213979077009706</v>
      </c>
      <c r="FU74" s="73">
        <f t="shared" si="701"/>
        <v>20.026666666666664</v>
      </c>
      <c r="FV74" s="73">
        <f t="shared" ca="1" si="702"/>
        <v>3.9177560331685233</v>
      </c>
      <c r="FW74" s="73">
        <f t="shared" ca="1" si="703"/>
        <v>24.669233568034908</v>
      </c>
      <c r="FX74" s="73">
        <f t="shared" ca="1" si="704"/>
        <v>48.613656267870098</v>
      </c>
      <c r="FY74" s="73">
        <f t="shared" ca="1" si="705"/>
        <v>41.195557388886947</v>
      </c>
      <c r="FZ74" s="73">
        <f t="shared" ca="1" si="706"/>
        <v>8.0589618924792941</v>
      </c>
      <c r="GA74" s="73">
        <f t="shared" ca="1" si="707"/>
        <v>50.745480718633743</v>
      </c>
      <c r="GB74" s="73">
        <f t="shared" ca="1" si="708"/>
        <v>91.820968615514559</v>
      </c>
      <c r="GC74" s="73">
        <f t="shared" ca="1" si="709"/>
        <v>3295690238.0943637</v>
      </c>
      <c r="GD74" s="2">
        <f t="shared" si="743"/>
        <v>38</v>
      </c>
      <c r="GE74">
        <f t="shared" ca="1" si="710"/>
        <v>1502.8210404164602</v>
      </c>
      <c r="GF74">
        <f t="shared" ca="1" si="711"/>
        <v>1502.5597582042597</v>
      </c>
      <c r="GG74">
        <f t="shared" ca="1" si="712"/>
        <v>1840.0984514989225</v>
      </c>
      <c r="GH74" s="2">
        <f t="shared" ca="1" si="713"/>
        <v>0.40335685889326928</v>
      </c>
      <c r="GI74" s="2">
        <f t="shared" ca="1" si="714"/>
        <v>1.199701548095502</v>
      </c>
      <c r="GJ74" s="2">
        <f t="shared" ca="1" si="715"/>
        <v>-1.5888651838100243</v>
      </c>
      <c r="GK74" s="2">
        <f t="shared" ca="1" si="716"/>
        <v>1.394867945476427</v>
      </c>
      <c r="GL74" s="2">
        <f t="shared" ca="1" si="717"/>
        <v>-0.40335685889326928</v>
      </c>
      <c r="GM74">
        <f t="shared" ca="1" si="718"/>
        <v>0.37969309543189678</v>
      </c>
      <c r="GN74">
        <f t="shared" ca="1" si="719"/>
        <v>5.4739156289262077E-2</v>
      </c>
      <c r="GO74">
        <f t="shared" ca="1" si="720"/>
        <v>-0.16328369859959546</v>
      </c>
      <c r="GP74">
        <f t="shared" ca="1" si="721"/>
        <v>-0.14458603776843545</v>
      </c>
      <c r="GQ74">
        <f t="shared" ca="1" si="722"/>
        <v>0.28669417583844842</v>
      </c>
      <c r="GR74">
        <f t="shared" ca="1" si="723"/>
        <v>0.14416684671865546</v>
      </c>
      <c r="GS74">
        <f t="shared" ca="1" si="724"/>
        <v>3.6041495458102063E-2</v>
      </c>
      <c r="GT74">
        <f t="shared" ca="1" si="725"/>
        <v>2.8953058001283363E-3</v>
      </c>
      <c r="GU74">
        <f t="shared" ca="1" si="726"/>
        <v>0.46540085518975205</v>
      </c>
      <c r="GV74">
        <f t="shared" ca="1" si="727"/>
        <v>-0.3062463842308199</v>
      </c>
      <c r="GW74">
        <f t="shared" ca="1" si="728"/>
        <v>0.53884756639082898</v>
      </c>
      <c r="GY74" s="15">
        <f t="shared" si="729"/>
        <v>0.20797387774614384</v>
      </c>
      <c r="GZ74" s="2">
        <f t="shared" si="730"/>
        <v>7.3996781379965154E-2</v>
      </c>
      <c r="HA74" s="2">
        <f t="shared" si="731"/>
        <v>3.3087403233738877E-2</v>
      </c>
      <c r="HB74" s="2">
        <f t="shared" si="732"/>
        <v>0.31505806235984785</v>
      </c>
      <c r="HC74" s="2">
        <f t="shared" si="733"/>
        <v>0.66011285725677971</v>
      </c>
      <c r="HD74" s="2">
        <f t="shared" si="734"/>
        <v>0.23486712520769815</v>
      </c>
      <c r="HE74" s="2">
        <f t="shared" si="735"/>
        <v>0.10502001753552223</v>
      </c>
      <c r="HF74" s="2">
        <f t="shared" si="736"/>
        <v>-1.367303197508499</v>
      </c>
      <c r="HG74" s="2">
        <f t="shared" si="737"/>
        <v>-1.3612806887591999</v>
      </c>
      <c r="HH74" s="2">
        <f t="shared" si="738"/>
        <v>-1.3642919431338494</v>
      </c>
      <c r="HI74" s="2">
        <f t="shared" si="739"/>
        <v>1.7320651658017885</v>
      </c>
      <c r="HJ74" s="2">
        <f t="shared" si="740"/>
        <v>0.26701509274248003</v>
      </c>
      <c r="HK74" s="2">
        <f t="shared" si="741"/>
        <v>0.34343175710003554</v>
      </c>
      <c r="HL74" s="2">
        <f t="shared" si="742"/>
        <v>0.68179284806260987</v>
      </c>
    </row>
    <row r="75" spans="1:220" ht="20.25">
      <c r="A75" s="150" t="s">
        <v>327</v>
      </c>
      <c r="B75" s="77">
        <v>3500</v>
      </c>
      <c r="C75" s="95">
        <f t="shared" ca="1" si="554"/>
        <v>-3.7297519653169484</v>
      </c>
      <c r="D75" s="70">
        <f t="shared" ca="1" si="555"/>
        <v>-3.6503639952666882</v>
      </c>
      <c r="E75" s="71">
        <f t="shared" ca="1" si="556"/>
        <v>-3.7297519653169484</v>
      </c>
      <c r="F75" s="177">
        <v>47.067289292900504</v>
      </c>
      <c r="G75" s="177">
        <v>0.9448691867839395</v>
      </c>
      <c r="H75" s="177">
        <v>11.884452672164171</v>
      </c>
      <c r="I75" s="177">
        <v>11.507164385901547</v>
      </c>
      <c r="J75" s="177">
        <v>0.20041707351382693</v>
      </c>
      <c r="K75" s="177">
        <v>18.89</v>
      </c>
      <c r="L75" s="177">
        <v>7.6786157359580889</v>
      </c>
      <c r="M75" s="177">
        <v>1.4931429621073435</v>
      </c>
      <c r="N75" s="177">
        <v>0.2796034724817989</v>
      </c>
      <c r="O75" s="328">
        <v>0.01</v>
      </c>
      <c r="P75" s="177">
        <v>0.1</v>
      </c>
      <c r="Q75" s="84"/>
      <c r="R75" s="72">
        <f t="shared" si="557"/>
        <v>100.05555478181122</v>
      </c>
      <c r="S75" s="106">
        <f t="shared" ca="1" si="558"/>
        <v>2.6590037545500329</v>
      </c>
      <c r="T75" s="104">
        <f t="shared" ca="1" si="559"/>
        <v>0.34779947860720201</v>
      </c>
      <c r="U75" s="107">
        <f t="shared" ca="1" si="560"/>
        <v>1577.6356847554498</v>
      </c>
      <c r="V75" s="107">
        <f t="shared" ca="1" si="561"/>
        <v>1541.2734447326454</v>
      </c>
      <c r="W75" s="105">
        <f t="shared" ca="1" si="562"/>
        <v>1549.4193982233742</v>
      </c>
      <c r="X75" s="102">
        <f t="shared" ca="1" si="563"/>
        <v>1640.4913853123262</v>
      </c>
      <c r="Y75" s="102">
        <f t="shared" ca="1" si="564"/>
        <v>1549.1596936963676</v>
      </c>
      <c r="Z75" s="103">
        <f t="shared" ca="1" si="565"/>
        <v>1616.0634661635054</v>
      </c>
      <c r="AA75" s="103">
        <f t="shared" ca="1" si="566"/>
        <v>1597.0565216625373</v>
      </c>
      <c r="AB75" s="103">
        <f t="shared" ca="1" si="567"/>
        <v>50.960604937025785</v>
      </c>
      <c r="AC75" s="4">
        <v>13.3</v>
      </c>
      <c r="AD75" s="273">
        <f t="shared" ca="1" si="568"/>
        <v>12.044255708016703</v>
      </c>
      <c r="AE75" s="3">
        <f t="shared" ca="1" si="569"/>
        <v>114.85557069838008</v>
      </c>
      <c r="AF75" s="3">
        <f t="shared" ca="1" si="570"/>
        <v>213.68015263089779</v>
      </c>
      <c r="AG75" s="2">
        <f t="shared" ca="1" si="571"/>
        <v>537.51164665619092</v>
      </c>
      <c r="AH75" s="2">
        <f t="shared" ca="1" si="572"/>
        <v>87.808798078268893</v>
      </c>
      <c r="AI75" s="87">
        <f t="shared" si="573"/>
        <v>0.37109437895000613</v>
      </c>
      <c r="AJ75" s="87">
        <f t="shared" ca="1" si="574"/>
        <v>2.6590037545500329</v>
      </c>
      <c r="AK75" s="87">
        <f t="shared" ca="1" si="575"/>
        <v>0.28408250293940307</v>
      </c>
      <c r="AL75" s="86">
        <f t="shared" ca="1" si="576"/>
        <v>0.28037763763734513</v>
      </c>
      <c r="AM75" s="87">
        <f t="shared" ca="1" si="577"/>
        <v>0.34779947860720201</v>
      </c>
      <c r="AN75" s="87">
        <f t="shared" ca="1" si="578"/>
        <v>0.34779947860720228</v>
      </c>
      <c r="AO75" s="96">
        <f t="shared" ca="1" si="579"/>
        <v>41.095399690216794</v>
      </c>
      <c r="AP75" s="96">
        <f t="shared" ca="1" si="580"/>
        <v>8.5930515667671088</v>
      </c>
      <c r="AQ75" s="96">
        <f t="shared" ca="1" si="581"/>
        <v>50.311548743016104</v>
      </c>
      <c r="AR75" s="73"/>
      <c r="AS75" s="53">
        <f t="shared" ca="1" si="744"/>
        <v>78.404234711913574</v>
      </c>
      <c r="AT75" s="68">
        <f t="shared" ca="1" si="582"/>
        <v>91.257666593938566</v>
      </c>
      <c r="AU75" s="74">
        <f t="shared" ca="1" si="583"/>
        <v>0.34779947860720228</v>
      </c>
      <c r="AV75" s="68">
        <f t="shared" si="584"/>
        <v>2.3768706500127443</v>
      </c>
      <c r="AW75" s="68">
        <f t="shared" ca="1" si="585"/>
        <v>2.4046119713596914</v>
      </c>
      <c r="AX75" s="69">
        <f t="shared" ca="1" si="586"/>
        <v>1583.4978042059174</v>
      </c>
      <c r="AY75" s="69">
        <f t="shared" ca="1" si="587"/>
        <v>1577.6356847554498</v>
      </c>
      <c r="AZ75" s="69">
        <f t="shared" ca="1" si="588"/>
        <v>1541.2734447326454</v>
      </c>
      <c r="BA75" s="75"/>
      <c r="BB75" s="74">
        <f t="shared" ca="1" si="589"/>
        <v>0.1633616659741591</v>
      </c>
      <c r="BC75" s="74">
        <f t="shared" ca="1" si="590"/>
        <v>3.8618935072874416E-3</v>
      </c>
      <c r="BD75" s="68">
        <f t="shared" si="591"/>
        <v>6.414207162870772E-2</v>
      </c>
      <c r="BE75" s="68">
        <f t="shared" ca="1" si="592"/>
        <v>0.19958874464659071</v>
      </c>
      <c r="BF75" s="68">
        <f t="shared" ca="1" si="593"/>
        <v>0.19558864514919377</v>
      </c>
      <c r="BH75" s="68">
        <f t="shared" ca="1" si="594"/>
        <v>0.12389911181984942</v>
      </c>
      <c r="BI75" s="68">
        <f t="shared" ca="1" si="595"/>
        <v>0.19412720247214421</v>
      </c>
      <c r="BK75" s="53">
        <f t="shared" ca="1" si="596"/>
        <v>0.46098018561722592</v>
      </c>
      <c r="BL75" s="53">
        <f t="shared" si="597"/>
        <v>1.684111705575201E-2</v>
      </c>
      <c r="BM75" s="53">
        <f t="shared" si="598"/>
        <v>1.5961098381239144E-2</v>
      </c>
      <c r="BN75" s="53">
        <f t="shared" si="599"/>
        <v>0.3158995942459073</v>
      </c>
      <c r="BO75" s="53">
        <f t="shared" si="600"/>
        <v>0.40553663762134684</v>
      </c>
      <c r="BP75" s="53">
        <f t="shared" si="601"/>
        <v>0.41650410437750718</v>
      </c>
      <c r="BQ75" s="54">
        <f t="shared" si="602"/>
        <v>1423.822864</v>
      </c>
      <c r="BR75" s="262">
        <f t="shared" si="603"/>
        <v>4.2013714412216441</v>
      </c>
      <c r="BS75" s="54">
        <f t="shared" si="604"/>
        <v>1616.8406189113987</v>
      </c>
      <c r="BT75" s="67"/>
      <c r="BU75" s="73">
        <f t="shared" si="605"/>
        <v>0.78341027451565426</v>
      </c>
      <c r="BV75" s="73">
        <f t="shared" si="606"/>
        <v>1.1825646893416013E-2</v>
      </c>
      <c r="BW75" s="73">
        <f t="shared" si="607"/>
        <v>0.23311990333786134</v>
      </c>
      <c r="BX75" s="73">
        <f t="shared" si="608"/>
        <v>0.16015538463328527</v>
      </c>
      <c r="BY75" s="73">
        <f t="shared" si="609"/>
        <v>2.8251631451061028E-3</v>
      </c>
      <c r="BZ75" s="73">
        <f t="shared" si="610"/>
        <v>0.4687344913151365</v>
      </c>
      <c r="CA75" s="73">
        <f t="shared" si="611"/>
        <v>0.13692253452136394</v>
      </c>
      <c r="CB75" s="73">
        <f t="shared" si="612"/>
        <v>4.818144440488363E-2</v>
      </c>
      <c r="CC75" s="73">
        <f t="shared" si="613"/>
        <v>5.9363794582122905E-3</v>
      </c>
      <c r="CD75" s="73">
        <f t="shared" si="614"/>
        <v>1.3158760444766102E-4</v>
      </c>
      <c r="CE75" s="73">
        <f t="shared" si="615"/>
        <v>1.409046075806679E-3</v>
      </c>
      <c r="CF75" s="73">
        <f t="shared" si="616"/>
        <v>1.8526518559051739</v>
      </c>
      <c r="CG75" s="73">
        <f t="shared" si="617"/>
        <v>0.4228588722800774</v>
      </c>
      <c r="CH75" s="73">
        <f t="shared" si="618"/>
        <v>6.3830918128102406E-3</v>
      </c>
      <c r="CI75" s="73">
        <f t="shared" si="619"/>
        <v>0.12583038879906713</v>
      </c>
      <c r="CJ75" s="73">
        <f t="shared" si="620"/>
        <v>8.6446562597718116E-2</v>
      </c>
      <c r="CK75" s="73">
        <f t="shared" si="621"/>
        <v>1.5249293255509015E-3</v>
      </c>
      <c r="CL75" s="73">
        <f t="shared" si="622"/>
        <v>0.25300732559173716</v>
      </c>
      <c r="CM75" s="73">
        <f t="shared" si="623"/>
        <v>7.3906240983666049E-2</v>
      </c>
      <c r="CN75" s="73">
        <f t="shared" si="624"/>
        <v>2.6006745007870355E-2</v>
      </c>
      <c r="CO75" s="73">
        <f t="shared" si="625"/>
        <v>3.2042606598161301E-3</v>
      </c>
      <c r="CP75" s="73">
        <f t="shared" si="626"/>
        <v>7.1026622745248361E-5</v>
      </c>
      <c r="CQ75" s="73">
        <f t="shared" si="627"/>
        <v>7.6055631894112309E-4</v>
      </c>
      <c r="CR75" s="73"/>
      <c r="CS75" s="73">
        <f t="shared" ca="1" si="628"/>
        <v>0.68401131308616503</v>
      </c>
      <c r="CT75" s="73">
        <f t="shared" ca="1" si="629"/>
        <v>0.11959709905034251</v>
      </c>
      <c r="CU75" s="73">
        <f t="shared" ca="1" si="630"/>
        <v>1.2484255271219877</v>
      </c>
      <c r="CV75" s="73">
        <f t="shared" ca="1" si="631"/>
        <v>2.0520339392584952</v>
      </c>
      <c r="CW75" s="73">
        <f t="shared" ca="1" si="632"/>
        <v>0.33333333333333331</v>
      </c>
      <c r="CX75" s="73">
        <f t="shared" ca="1" si="633"/>
        <v>5.8282222707076205E-2</v>
      </c>
      <c r="CY75" s="73">
        <f t="shared" ca="1" si="634"/>
        <v>0.60838444395959046</v>
      </c>
      <c r="CZ75" s="73">
        <f t="shared" si="635"/>
        <v>0.41488505849867224</v>
      </c>
      <c r="DA75" s="73">
        <f t="shared" si="636"/>
        <v>0.4228588722800774</v>
      </c>
      <c r="DB75" s="73">
        <f t="shared" si="637"/>
        <v>-0.515507862441832</v>
      </c>
      <c r="DC75" s="73"/>
      <c r="DD75" s="73">
        <f t="shared" ca="1" si="638"/>
        <v>1583.4978042059174</v>
      </c>
      <c r="DE75" s="73">
        <f t="shared" ca="1" si="639"/>
        <v>14917.263354084556</v>
      </c>
      <c r="DF75" s="73">
        <f t="shared" si="640"/>
        <v>8.0345143113799242</v>
      </c>
      <c r="DG75" s="73">
        <f t="shared" si="641"/>
        <v>1693.0588800763255</v>
      </c>
      <c r="DH75" s="73">
        <f t="shared" si="642"/>
        <v>1419.9088800763257</v>
      </c>
      <c r="DI75" s="73">
        <f t="shared" si="449"/>
        <v>13602.905801982104</v>
      </c>
      <c r="DJ75" s="73">
        <f t="shared" si="643"/>
        <v>8.0345143113799242</v>
      </c>
      <c r="DK75" s="73">
        <f t="shared" si="644"/>
        <v>1693.0588800763255</v>
      </c>
      <c r="DL75" s="73">
        <f t="shared" ca="1" si="645"/>
        <v>2.6590037545500329</v>
      </c>
      <c r="DM75" s="73">
        <f t="shared" si="646"/>
        <v>-0.515507862441832</v>
      </c>
      <c r="DN75" s="73">
        <f t="shared" si="647"/>
        <v>0.41488505849867224</v>
      </c>
      <c r="DO75" s="73">
        <f t="shared" si="648"/>
        <v>0.4228588722800774</v>
      </c>
      <c r="DP75" s="73">
        <f t="shared" si="649"/>
        <v>2.3768706500127443</v>
      </c>
      <c r="DQ75" s="73">
        <f t="shared" ca="1" si="650"/>
        <v>14917.345555874077</v>
      </c>
      <c r="DR75" s="73">
        <f t="shared" si="651"/>
        <v>8.0342910842077888</v>
      </c>
      <c r="DS75" s="73">
        <f t="shared" ca="1" si="652"/>
        <v>1583.55962123785</v>
      </c>
      <c r="DT75" s="73">
        <f t="shared" si="653"/>
        <v>1419.9737974110949</v>
      </c>
      <c r="DU75" s="73">
        <f t="shared" ca="1" si="654"/>
        <v>1549.4193982233742</v>
      </c>
      <c r="DV75" s="76">
        <f t="shared" ca="1" si="655"/>
        <v>2.4046119713596914</v>
      </c>
      <c r="DW75" s="73">
        <f t="shared" ca="1" si="656"/>
        <v>2.9447125679414103</v>
      </c>
      <c r="DX75" s="73">
        <f t="shared" ca="1" si="657"/>
        <v>4576.4845168381617</v>
      </c>
      <c r="DY75" s="73">
        <f t="shared" ca="1" si="658"/>
        <v>1554.136239530329</v>
      </c>
      <c r="DZ75" s="73">
        <f t="shared" ca="1" si="659"/>
        <v>3.6978328931667299</v>
      </c>
      <c r="EA75" s="73"/>
      <c r="EB75" s="73">
        <f t="shared" si="660"/>
        <v>0.78341027451565426</v>
      </c>
      <c r="EC75" s="73">
        <f t="shared" si="661"/>
        <v>1.1825646893416013E-2</v>
      </c>
      <c r="ED75" s="73">
        <f t="shared" si="662"/>
        <v>0.11655995166893067</v>
      </c>
      <c r="EE75" s="73">
        <f t="shared" si="663"/>
        <v>0.16015538463328527</v>
      </c>
      <c r="EF75" s="73">
        <f t="shared" si="664"/>
        <v>2.8251631451061028E-3</v>
      </c>
      <c r="EG75" s="73">
        <f t="shared" si="665"/>
        <v>0.4687344913151365</v>
      </c>
      <c r="EH75" s="73">
        <f t="shared" si="666"/>
        <v>0.13692253452136394</v>
      </c>
      <c r="EI75" s="73">
        <f t="shared" si="667"/>
        <v>2.4090722202441815E-2</v>
      </c>
      <c r="EJ75" s="73">
        <f t="shared" si="668"/>
        <v>2.9681897291061452E-3</v>
      </c>
      <c r="EK75" s="73">
        <f t="shared" si="669"/>
        <v>6.5793802223830508E-5</v>
      </c>
      <c r="EL75" s="73">
        <f t="shared" si="670"/>
        <v>7.0452303790333951E-4</v>
      </c>
      <c r="EM75" s="73">
        <f t="shared" si="671"/>
        <v>1.7082626754645678</v>
      </c>
      <c r="EN75" s="73">
        <f t="shared" si="672"/>
        <v>0.45860059214991816</v>
      </c>
      <c r="EO75" s="73">
        <f t="shared" si="673"/>
        <v>6.9226162131066811E-3</v>
      </c>
      <c r="EP75" s="73">
        <f t="shared" si="674"/>
        <v>6.8233037777537225E-2</v>
      </c>
      <c r="EQ75" s="73">
        <f t="shared" si="675"/>
        <v>9.3753371149276246E-2</v>
      </c>
      <c r="ER75" s="73">
        <f t="shared" si="676"/>
        <v>1.6538224394195057E-3</v>
      </c>
      <c r="ES75" s="73">
        <f t="shared" si="677"/>
        <v>0.27439251471537457</v>
      </c>
      <c r="ET75" s="73">
        <f t="shared" si="678"/>
        <v>8.0153091493453954E-2</v>
      </c>
      <c r="EU75" s="73">
        <f t="shared" si="679"/>
        <v>1.4102469455343138E-2</v>
      </c>
      <c r="EV75" s="73">
        <f t="shared" si="680"/>
        <v>1.7375487808389514E-3</v>
      </c>
      <c r="EW75" s="73">
        <f t="shared" si="681"/>
        <v>3.8515038213275758E-5</v>
      </c>
      <c r="EX75" s="73">
        <f t="shared" si="682"/>
        <v>4.1242078751837276E-4</v>
      </c>
      <c r="EY75" s="73">
        <f t="shared" si="683"/>
        <v>1</v>
      </c>
      <c r="EZ75" s="73">
        <f t="shared" si="684"/>
        <v>0.12583038879906713</v>
      </c>
      <c r="FA75" s="73">
        <f t="shared" si="685"/>
        <v>0.55507235289195478</v>
      </c>
      <c r="FB75" s="73">
        <f t="shared" si="686"/>
        <v>1.4787280034483619</v>
      </c>
      <c r="FC75" s="73">
        <f t="shared" si="687"/>
        <v>0.73716659532890461</v>
      </c>
      <c r="FD75" s="73">
        <f t="shared" si="688"/>
        <v>1.3280549670475024</v>
      </c>
      <c r="FE75" s="73">
        <f t="shared" ca="1" si="689"/>
        <v>0.12023398431130206</v>
      </c>
      <c r="FF75" s="73">
        <f t="shared" ca="1" si="690"/>
        <v>9.0871684243571289E-3</v>
      </c>
      <c r="FG75" s="73">
        <f t="shared" ca="1" si="691"/>
        <v>7.5579034300561981E-2</v>
      </c>
      <c r="FH75" s="73">
        <f t="shared" ca="1" si="692"/>
        <v>0.27544131216173873</v>
      </c>
      <c r="FI75" s="73">
        <f t="shared" ca="1" si="693"/>
        <v>9.5798344756736376E-2</v>
      </c>
      <c r="FJ75" s="73">
        <f t="shared" ca="1" si="694"/>
        <v>0.34779947860720228</v>
      </c>
      <c r="FK75" s="73">
        <f t="shared" ca="1" si="695"/>
        <v>9.5798344756736376E-2</v>
      </c>
      <c r="FL75" s="73">
        <f t="shared" ca="1" si="696"/>
        <v>9.5798344756736292E-2</v>
      </c>
      <c r="FM75" s="73"/>
      <c r="FN75" s="73"/>
      <c r="FO75" s="73"/>
      <c r="FP75" s="73">
        <f t="shared" ca="1" si="697"/>
        <v>1.8251533318787714</v>
      </c>
      <c r="FQ75" s="73">
        <f t="shared" ca="1" si="698"/>
        <v>0.17484666812122862</v>
      </c>
      <c r="FR75" s="73">
        <f t="shared" si="479"/>
        <v>0.33333333333333331</v>
      </c>
      <c r="FS75" s="73">
        <f t="shared" ca="1" si="699"/>
        <v>5.8282222707076205E-2</v>
      </c>
      <c r="FT75" s="73">
        <f t="shared" ca="1" si="700"/>
        <v>0.60838444395959046</v>
      </c>
      <c r="FU75" s="73">
        <f t="shared" si="701"/>
        <v>20.026666666666664</v>
      </c>
      <c r="FV75" s="73">
        <f t="shared" ca="1" si="702"/>
        <v>4.1875777015034252</v>
      </c>
      <c r="FW75" s="73">
        <f t="shared" ca="1" si="703"/>
        <v>24.517893091571494</v>
      </c>
      <c r="FX75" s="73">
        <f t="shared" ca="1" si="704"/>
        <v>48.73213745974158</v>
      </c>
      <c r="FY75" s="73">
        <f t="shared" ca="1" si="705"/>
        <v>41.095399690216794</v>
      </c>
      <c r="FZ75" s="73">
        <f t="shared" ca="1" si="706"/>
        <v>8.5930515667671088</v>
      </c>
      <c r="GA75" s="73">
        <f t="shared" ca="1" si="707"/>
        <v>50.311548743016104</v>
      </c>
      <c r="GB75" s="73">
        <f t="shared" ca="1" si="708"/>
        <v>91.257666593938566</v>
      </c>
      <c r="GC75" s="73">
        <f t="shared" ca="1" si="709"/>
        <v>2659003754.5500331</v>
      </c>
      <c r="GD75" s="2">
        <f t="shared" si="743"/>
        <v>38</v>
      </c>
      <c r="GE75">
        <f t="shared" ca="1" si="710"/>
        <v>1437.6949443970245</v>
      </c>
      <c r="GF75">
        <f t="shared" ca="1" si="711"/>
        <v>1437.2947828456056</v>
      </c>
      <c r="GG75">
        <f t="shared" ca="1" si="712"/>
        <v>1806.4284333503044</v>
      </c>
      <c r="GH75" s="2">
        <f t="shared" ca="1" si="713"/>
        <v>0.38018994398902073</v>
      </c>
      <c r="GI75" s="2">
        <f t="shared" ca="1" si="714"/>
        <v>1.3919808661258899</v>
      </c>
      <c r="GJ75" s="2">
        <f t="shared" ca="1" si="715"/>
        <v>-1.9530498523973816</v>
      </c>
      <c r="GK75" s="2">
        <f t="shared" ca="1" si="716"/>
        <v>1.5674099825169407</v>
      </c>
      <c r="GL75" s="2">
        <f t="shared" ca="1" si="717"/>
        <v>-0.38018994398902073</v>
      </c>
      <c r="GM75">
        <f t="shared" ca="1" si="718"/>
        <v>0.41534545825744579</v>
      </c>
      <c r="GN75">
        <f t="shared" ca="1" si="719"/>
        <v>7.1652013266445796E-2</v>
      </c>
      <c r="GO75">
        <f t="shared" ca="1" si="720"/>
        <v>-0.18442938898419492</v>
      </c>
      <c r="GP75">
        <f t="shared" ca="1" si="721"/>
        <v>-0.12127967418534404</v>
      </c>
      <c r="GQ75">
        <f t="shared" ca="1" si="722"/>
        <v>0.2960256902899675</v>
      </c>
      <c r="GR75">
        <f t="shared" ca="1" si="723"/>
        <v>0.17251184969508765</v>
      </c>
      <c r="GS75">
        <f t="shared" ca="1" si="724"/>
        <v>8.5022984675949126E-3</v>
      </c>
      <c r="GT75">
        <f t="shared" ca="1" si="725"/>
        <v>1.8842862466161656E-3</v>
      </c>
      <c r="GU75">
        <f t="shared" ca="1" si="726"/>
        <v>0.37500264542826217</v>
      </c>
      <c r="GV75">
        <f t="shared" ca="1" si="727"/>
        <v>-0.32936791806848204</v>
      </c>
      <c r="GW75">
        <f t="shared" ca="1" si="728"/>
        <v>0.46098018561722592</v>
      </c>
      <c r="GY75" s="15">
        <f t="shared" si="729"/>
        <v>0.18750442074768878</v>
      </c>
      <c r="GZ75" s="2">
        <f t="shared" si="730"/>
        <v>7.5194169028857186E-2</v>
      </c>
      <c r="HA75" s="2">
        <f t="shared" si="731"/>
        <v>7.7027915983797379E-2</v>
      </c>
      <c r="HB75" s="2">
        <f t="shared" si="732"/>
        <v>0.33972650576034336</v>
      </c>
      <c r="HC75" s="2">
        <f t="shared" si="733"/>
        <v>0.55192755810452387</v>
      </c>
      <c r="HD75" s="2">
        <f t="shared" si="734"/>
        <v>0.22133736330217976</v>
      </c>
      <c r="HE75" s="2">
        <f t="shared" si="735"/>
        <v>0.22673507859329631</v>
      </c>
      <c r="HF75" s="2">
        <f t="shared" si="736"/>
        <v>-1.3030182971792452</v>
      </c>
      <c r="HG75" s="2">
        <f t="shared" si="737"/>
        <v>-1.3032768344646446</v>
      </c>
      <c r="HH75" s="2">
        <f t="shared" si="738"/>
        <v>-1.3031475658219449</v>
      </c>
      <c r="HI75" s="2">
        <f t="shared" si="739"/>
        <v>2.5482775188415197</v>
      </c>
      <c r="HJ75" s="2">
        <f t="shared" si="740"/>
        <v>0.16680333417146559</v>
      </c>
      <c r="HK75" s="2">
        <f t="shared" si="741"/>
        <v>0.34241155918988225</v>
      </c>
      <c r="HL75" s="2">
        <f t="shared" si="742"/>
        <v>0.69695710698510716</v>
      </c>
    </row>
    <row r="76" spans="1:220" ht="20.25">
      <c r="A76" s="150" t="s">
        <v>328</v>
      </c>
      <c r="B76" s="77">
        <v>3500</v>
      </c>
      <c r="C76" s="95">
        <f t="shared" ca="1" si="554"/>
        <v>-3.1181641412589287</v>
      </c>
      <c r="D76" s="70">
        <f t="shared" ca="1" si="555"/>
        <v>-2.8804474767783073</v>
      </c>
      <c r="E76" s="71">
        <f t="shared" ca="1" si="556"/>
        <v>-3.1181641412589265</v>
      </c>
      <c r="F76" s="177">
        <v>45.553811453206258</v>
      </c>
      <c r="G76" s="177">
        <v>2.4046666525920761</v>
      </c>
      <c r="H76" s="177">
        <v>10.461940712378791</v>
      </c>
      <c r="I76" s="177">
        <v>11.734394867268602</v>
      </c>
      <c r="J76" s="177">
        <v>0.1300211756818187</v>
      </c>
      <c r="K76" s="177">
        <v>19.37</v>
      </c>
      <c r="L76" s="177">
        <v>6.3588962615897033</v>
      </c>
      <c r="M76" s="177">
        <v>1.9198023443768089</v>
      </c>
      <c r="N76" s="177">
        <v>1.6598250003521702</v>
      </c>
      <c r="O76" s="328">
        <v>0.01</v>
      </c>
      <c r="P76" s="177">
        <v>0.4</v>
      </c>
      <c r="Q76" s="84"/>
      <c r="R76" s="72">
        <f t="shared" si="557"/>
        <v>100.00335846744625</v>
      </c>
      <c r="S76" s="106">
        <f t="shared" ca="1" si="558"/>
        <v>3.3076082415151191</v>
      </c>
      <c r="T76" s="104">
        <f t="shared" ca="1" si="559"/>
        <v>0.3456940098755879</v>
      </c>
      <c r="U76" s="107">
        <f t="shared" ca="1" si="560"/>
        <v>1648.8043681554859</v>
      </c>
      <c r="V76" s="107">
        <f t="shared" ca="1" si="561"/>
        <v>1590.167551257972</v>
      </c>
      <c r="W76" s="105">
        <f t="shared" ca="1" si="562"/>
        <v>1605.1100879368385</v>
      </c>
      <c r="X76" s="102">
        <f t="shared" ca="1" si="563"/>
        <v>1660.7184318996005</v>
      </c>
      <c r="Y76" s="102">
        <f t="shared" ca="1" si="564"/>
        <v>1546.1763616458209</v>
      </c>
      <c r="Z76" s="103">
        <f t="shared" ca="1" si="565"/>
        <v>1602.6554675967939</v>
      </c>
      <c r="AA76" s="103">
        <f t="shared" ca="1" si="566"/>
        <v>1595.3482054347551</v>
      </c>
      <c r="AB76" s="103">
        <f t="shared" ca="1" si="567"/>
        <v>57.737133591968089</v>
      </c>
      <c r="AC76" s="4">
        <v>13.3</v>
      </c>
      <c r="AD76" s="273">
        <f t="shared" ca="1" si="568"/>
        <v>12.405667989650672</v>
      </c>
      <c r="AE76" s="3">
        <f t="shared" ca="1" si="569"/>
        <v>118.09287317106819</v>
      </c>
      <c r="AF76" s="3">
        <f t="shared" ca="1" si="570"/>
        <v>214.03617921305747</v>
      </c>
      <c r="AG76" s="2">
        <f t="shared" ca="1" si="571"/>
        <v>551.74257737760922</v>
      </c>
      <c r="AH76" s="2">
        <f t="shared" ca="1" si="572"/>
        <v>46.213743860852553</v>
      </c>
      <c r="AI76" s="87">
        <f t="shared" si="573"/>
        <v>0.39384198896124056</v>
      </c>
      <c r="AJ76" s="87">
        <f t="shared" ca="1" si="574"/>
        <v>3.3076082415151076</v>
      </c>
      <c r="AK76" s="87">
        <f t="shared" ca="1" si="575"/>
        <v>0.27168305536919346</v>
      </c>
      <c r="AL76" s="86">
        <f t="shared" ca="1" si="576"/>
        <v>0.26424369800847858</v>
      </c>
      <c r="AM76" s="87">
        <f t="shared" ca="1" si="577"/>
        <v>0.34569400987558785</v>
      </c>
      <c r="AN76" s="87">
        <f t="shared" ca="1" si="578"/>
        <v>0.34569400987558707</v>
      </c>
      <c r="AO76" s="96">
        <f t="shared" ca="1" si="579"/>
        <v>41.184878843773689</v>
      </c>
      <c r="AP76" s="96">
        <f t="shared" ca="1" si="580"/>
        <v>8.1159051006113909</v>
      </c>
      <c r="AQ76" s="96">
        <f t="shared" ca="1" si="581"/>
        <v>50.699216055614912</v>
      </c>
      <c r="AR76" s="73"/>
      <c r="AS76" s="53">
        <f t="shared" ca="1" si="744"/>
        <v>79.382089056925267</v>
      </c>
      <c r="AT76" s="68">
        <f t="shared" ca="1" si="582"/>
        <v>91.761041348049972</v>
      </c>
      <c r="AU76" s="74">
        <f t="shared" ca="1" si="583"/>
        <v>0.34569400987558707</v>
      </c>
      <c r="AV76" s="68">
        <f t="shared" si="584"/>
        <v>2.3239081271612876</v>
      </c>
      <c r="AW76" s="68">
        <f t="shared" ca="1" si="585"/>
        <v>2.3618067355825336</v>
      </c>
      <c r="AX76" s="69">
        <f t="shared" ca="1" si="586"/>
        <v>1655.2212436737273</v>
      </c>
      <c r="AY76" s="69">
        <f t="shared" ca="1" si="587"/>
        <v>1648.8043681554873</v>
      </c>
      <c r="AZ76" s="69">
        <f t="shared" ca="1" si="588"/>
        <v>1590.1675512579727</v>
      </c>
      <c r="BA76" s="75"/>
      <c r="BB76" s="74">
        <f t="shared" ca="1" si="589"/>
        <v>8.3759611376200818E-2</v>
      </c>
      <c r="BC76" s="74">
        <f t="shared" ca="1" si="590"/>
        <v>0.11679306042644269</v>
      </c>
      <c r="BD76" s="68">
        <f t="shared" si="591"/>
        <v>0</v>
      </c>
      <c r="BE76" s="68">
        <f t="shared" ca="1" si="592"/>
        <v>0</v>
      </c>
      <c r="BF76" s="68">
        <f t="shared" ca="1" si="593"/>
        <v>0.16986811545866665</v>
      </c>
      <c r="BH76" s="68">
        <f t="shared" ca="1" si="594"/>
        <v>9.2535831011771846E-2</v>
      </c>
      <c r="BI76" s="68">
        <f t="shared" ca="1" si="595"/>
        <v>0.16517033004613579</v>
      </c>
      <c r="BK76" s="53">
        <f t="shared" ca="1" si="596"/>
        <v>0.57663967483388068</v>
      </c>
      <c r="BL76" s="53">
        <f t="shared" si="597"/>
        <v>2.3047451767249882E-2</v>
      </c>
      <c r="BM76" s="53">
        <f t="shared" si="598"/>
        <v>2.2793861463683177E-2</v>
      </c>
      <c r="BN76" s="53">
        <f t="shared" si="599"/>
        <v>0.33534650303869729</v>
      </c>
      <c r="BO76" s="53">
        <f t="shared" si="600"/>
        <v>0.36637388006864435</v>
      </c>
      <c r="BP76" s="53">
        <f t="shared" si="601"/>
        <v>0.34313258048507023</v>
      </c>
      <c r="BQ76" s="54">
        <f t="shared" si="602"/>
        <v>1432.5964959999999</v>
      </c>
      <c r="BR76" s="262">
        <f t="shared" si="603"/>
        <v>4.4564957536417493</v>
      </c>
      <c r="BS76" s="54">
        <f t="shared" si="604"/>
        <v>1634.8293711740762</v>
      </c>
      <c r="BT76" s="67"/>
      <c r="BU76" s="73">
        <f t="shared" si="605"/>
        <v>0.7582192319108898</v>
      </c>
      <c r="BV76" s="73">
        <f t="shared" si="606"/>
        <v>3.0095953098774417E-2</v>
      </c>
      <c r="BW76" s="73">
        <f t="shared" si="607"/>
        <v>0.20521656948565695</v>
      </c>
      <c r="BX76" s="73">
        <f t="shared" si="608"/>
        <v>0.16331795222364096</v>
      </c>
      <c r="BY76" s="73">
        <f t="shared" si="609"/>
        <v>1.8328330375221131E-3</v>
      </c>
      <c r="BZ76" s="73">
        <f t="shared" si="610"/>
        <v>0.48064516129032264</v>
      </c>
      <c r="CA76" s="73">
        <f t="shared" si="611"/>
        <v>0.11338973362321154</v>
      </c>
      <c r="CB76" s="73">
        <f t="shared" si="612"/>
        <v>6.1949091461013517E-2</v>
      </c>
      <c r="CC76" s="73">
        <f t="shared" si="613"/>
        <v>3.5240445867349687E-2</v>
      </c>
      <c r="CD76" s="73">
        <f t="shared" si="614"/>
        <v>1.3158760444766102E-4</v>
      </c>
      <c r="CE76" s="73">
        <f t="shared" si="615"/>
        <v>5.6361843032267161E-3</v>
      </c>
      <c r="CF76" s="73">
        <f t="shared" si="616"/>
        <v>1.8556747439060557</v>
      </c>
      <c r="CG76" s="73">
        <f t="shared" si="617"/>
        <v>0.40859489757073236</v>
      </c>
      <c r="CH76" s="73">
        <f t="shared" si="618"/>
        <v>1.6218334165299195E-2</v>
      </c>
      <c r="CI76" s="73">
        <f t="shared" si="619"/>
        <v>0.11058865254246632</v>
      </c>
      <c r="CJ76" s="73">
        <f t="shared" si="620"/>
        <v>8.8010009706695133E-2</v>
      </c>
      <c r="CK76" s="73">
        <f t="shared" si="621"/>
        <v>9.8769088901007373E-4</v>
      </c>
      <c r="CL76" s="73">
        <f t="shared" si="622"/>
        <v>0.25901368915470646</v>
      </c>
      <c r="CM76" s="73">
        <f t="shared" si="623"/>
        <v>6.1104314748895425E-2</v>
      </c>
      <c r="CN76" s="73">
        <f t="shared" si="624"/>
        <v>3.3383593576649828E-2</v>
      </c>
      <c r="CO76" s="73">
        <f t="shared" si="625"/>
        <v>1.8990637224048867E-2</v>
      </c>
      <c r="CP76" s="73">
        <f t="shared" si="626"/>
        <v>7.0910920612455501E-5</v>
      </c>
      <c r="CQ76" s="73">
        <f t="shared" si="627"/>
        <v>3.0372695008840677E-3</v>
      </c>
      <c r="CR76" s="73"/>
      <c r="CS76" s="73">
        <f t="shared" ca="1" si="628"/>
        <v>0.68550064653418263</v>
      </c>
      <c r="CT76" s="73">
        <f t="shared" ca="1" si="629"/>
        <v>0.11295622965360322</v>
      </c>
      <c r="CU76" s="73">
        <f t="shared" ca="1" si="630"/>
        <v>1.2580450634147622</v>
      </c>
      <c r="CV76" s="73">
        <f t="shared" ca="1" si="631"/>
        <v>2.0565019396025481</v>
      </c>
      <c r="CW76" s="73">
        <f t="shared" ca="1" si="632"/>
        <v>0.33333333333333331</v>
      </c>
      <c r="CX76" s="73">
        <f t="shared" ca="1" si="633"/>
        <v>5.4926391013000363E-2</v>
      </c>
      <c r="CY76" s="73">
        <f t="shared" ca="1" si="634"/>
        <v>0.61174027565366629</v>
      </c>
      <c r="CZ76" s="73">
        <f t="shared" si="635"/>
        <v>0.40911570449930712</v>
      </c>
      <c r="DA76" s="73">
        <f t="shared" si="636"/>
        <v>0.40859489757073236</v>
      </c>
      <c r="DB76" s="73">
        <f t="shared" si="637"/>
        <v>-0.52464308456605635</v>
      </c>
      <c r="DC76" s="73"/>
      <c r="DD76" s="73">
        <f t="shared" ca="1" si="638"/>
        <v>1655.2212436737273</v>
      </c>
      <c r="DE76" s="73">
        <f t="shared" ca="1" si="639"/>
        <v>15237.883536109301</v>
      </c>
      <c r="DF76" s="73">
        <f t="shared" si="640"/>
        <v>7.9019450150478798</v>
      </c>
      <c r="DG76" s="73">
        <f t="shared" si="641"/>
        <v>1721.4629785549932</v>
      </c>
      <c r="DH76" s="73">
        <f t="shared" si="642"/>
        <v>1448.3129785549932</v>
      </c>
      <c r="DI76" s="73">
        <f t="shared" si="449"/>
        <v>13602.905801982104</v>
      </c>
      <c r="DJ76" s="73">
        <f t="shared" si="643"/>
        <v>7.9019450150478798</v>
      </c>
      <c r="DK76" s="73">
        <f t="shared" si="644"/>
        <v>1721.4629785549932</v>
      </c>
      <c r="DL76" s="73">
        <f t="shared" ca="1" si="645"/>
        <v>3.3076082415151191</v>
      </c>
      <c r="DM76" s="73">
        <f t="shared" si="646"/>
        <v>-0.52464308456605635</v>
      </c>
      <c r="DN76" s="73">
        <f t="shared" si="647"/>
        <v>0.40911570449930712</v>
      </c>
      <c r="DO76" s="73">
        <f t="shared" si="648"/>
        <v>0.40859489757073236</v>
      </c>
      <c r="DP76" s="73">
        <f t="shared" si="649"/>
        <v>2.3239081271612876</v>
      </c>
      <c r="DQ76" s="73">
        <f t="shared" ca="1" si="650"/>
        <v>15237.950753780919</v>
      </c>
      <c r="DR76" s="73">
        <f t="shared" si="651"/>
        <v>7.9017217878757444</v>
      </c>
      <c r="DS76" s="73">
        <f t="shared" ca="1" si="652"/>
        <v>1655.2842277352447</v>
      </c>
      <c r="DT76" s="73">
        <f t="shared" si="653"/>
        <v>1448.3797874536995</v>
      </c>
      <c r="DU76" s="73">
        <f t="shared" ca="1" si="654"/>
        <v>1605.1100879368385</v>
      </c>
      <c r="DV76" s="76">
        <f t="shared" ca="1" si="655"/>
        <v>2.3618067355825332</v>
      </c>
      <c r="DW76" s="73">
        <f t="shared" ca="1" si="656"/>
        <v>2.8343289533833187</v>
      </c>
      <c r="DX76" s="73">
        <f t="shared" ca="1" si="657"/>
        <v>4612.2161380250682</v>
      </c>
      <c r="DY76" s="73">
        <f t="shared" ca="1" si="658"/>
        <v>1627.2691751320883</v>
      </c>
      <c r="DZ76" s="73">
        <f t="shared" ca="1" si="659"/>
        <v>3.6948591485431712</v>
      </c>
      <c r="EA76" s="73"/>
      <c r="EB76" s="73">
        <f t="shared" si="660"/>
        <v>0.7582192319108898</v>
      </c>
      <c r="EC76" s="73">
        <f t="shared" si="661"/>
        <v>3.0095953098774417E-2</v>
      </c>
      <c r="ED76" s="73">
        <f t="shared" si="662"/>
        <v>0.10260828474282847</v>
      </c>
      <c r="EE76" s="73">
        <f t="shared" si="663"/>
        <v>0.16331795222364096</v>
      </c>
      <c r="EF76" s="73">
        <f t="shared" si="664"/>
        <v>1.8328330375221131E-3</v>
      </c>
      <c r="EG76" s="73">
        <f t="shared" si="665"/>
        <v>0.48064516129032264</v>
      </c>
      <c r="EH76" s="73">
        <f t="shared" si="666"/>
        <v>0.11338973362321154</v>
      </c>
      <c r="EI76" s="73">
        <f t="shared" si="667"/>
        <v>3.0974545730506758E-2</v>
      </c>
      <c r="EJ76" s="73">
        <f t="shared" si="668"/>
        <v>1.7620222933674844E-2</v>
      </c>
      <c r="EK76" s="73">
        <f t="shared" si="669"/>
        <v>6.5793802223830508E-5</v>
      </c>
      <c r="EL76" s="73">
        <f t="shared" si="670"/>
        <v>2.8180921516133581E-3</v>
      </c>
      <c r="EM76" s="73">
        <f t="shared" si="671"/>
        <v>1.7015878045452089</v>
      </c>
      <c r="EN76" s="73">
        <f t="shared" si="672"/>
        <v>0.44559512584984851</v>
      </c>
      <c r="EO76" s="73">
        <f t="shared" si="673"/>
        <v>1.7686982134206292E-2</v>
      </c>
      <c r="EP76" s="73">
        <f t="shared" si="674"/>
        <v>6.0301492799105398E-2</v>
      </c>
      <c r="EQ76" s="73">
        <f t="shared" si="675"/>
        <v>9.5979738328749772E-2</v>
      </c>
      <c r="ER76" s="73">
        <f t="shared" si="676"/>
        <v>1.0771310376263437E-3</v>
      </c>
      <c r="ES76" s="73">
        <f t="shared" si="677"/>
        <v>0.28246862137025414</v>
      </c>
      <c r="ET76" s="73">
        <f t="shared" si="678"/>
        <v>6.6637603607835993E-2</v>
      </c>
      <c r="EU76" s="73">
        <f t="shared" si="679"/>
        <v>1.8203319069265114E-2</v>
      </c>
      <c r="EV76" s="73">
        <f t="shared" si="680"/>
        <v>1.035516526776253E-2</v>
      </c>
      <c r="EW76" s="73">
        <f t="shared" si="681"/>
        <v>3.866612234060735E-5</v>
      </c>
      <c r="EX76" s="73">
        <f t="shared" si="682"/>
        <v>1.6561544130051886E-3</v>
      </c>
      <c r="EY76" s="73">
        <f t="shared" si="683"/>
        <v>0.99999999999999967</v>
      </c>
      <c r="EZ76" s="73">
        <f t="shared" si="684"/>
        <v>0.11058865254246632</v>
      </c>
      <c r="FA76" s="73">
        <f t="shared" si="685"/>
        <v>0.53540188427849789</v>
      </c>
      <c r="FB76" s="73">
        <f t="shared" si="686"/>
        <v>1.4585118023185479</v>
      </c>
      <c r="FC76" s="73">
        <f t="shared" si="687"/>
        <v>0.77541606752310432</v>
      </c>
      <c r="FD76" s="73">
        <f t="shared" si="688"/>
        <v>1.4482878941826047</v>
      </c>
      <c r="FE76" s="73">
        <f t="shared" ca="1" si="689"/>
        <v>0.15411968663959483</v>
      </c>
      <c r="FF76" s="73">
        <f t="shared" ca="1" si="690"/>
        <v>1.1307079955787573E-2</v>
      </c>
      <c r="FG76" s="73">
        <f t="shared" ca="1" si="691"/>
        <v>7.3365578417174629E-2</v>
      </c>
      <c r="FH76" s="73">
        <f t="shared" ca="1" si="692"/>
        <v>0.25973001199665474</v>
      </c>
      <c r="FI76" s="73">
        <f t="shared" ca="1" si="693"/>
        <v>8.9787109332158249E-2</v>
      </c>
      <c r="FJ76" s="73">
        <f t="shared" ca="1" si="694"/>
        <v>0.34569400987558835</v>
      </c>
      <c r="FK76" s="73">
        <f t="shared" ca="1" si="695"/>
        <v>8.9787109332158277E-2</v>
      </c>
      <c r="FL76" s="73">
        <f t="shared" ca="1" si="696"/>
        <v>8.978710933215811E-2</v>
      </c>
      <c r="FM76" s="73"/>
      <c r="FN76" s="73"/>
      <c r="FO76" s="73"/>
      <c r="FP76" s="73">
        <f t="shared" ca="1" si="697"/>
        <v>1.8352208269609993</v>
      </c>
      <c r="FQ76" s="73">
        <f t="shared" ca="1" si="698"/>
        <v>0.16477917303900069</v>
      </c>
      <c r="FR76" s="73">
        <f t="shared" si="479"/>
        <v>0.33333333333333331</v>
      </c>
      <c r="FS76" s="73">
        <f t="shared" ca="1" si="699"/>
        <v>5.4926391013000231E-2</v>
      </c>
      <c r="FT76" s="73">
        <f t="shared" ca="1" si="700"/>
        <v>0.6117402756536664</v>
      </c>
      <c r="FU76" s="73">
        <f t="shared" si="701"/>
        <v>20.026666666666664</v>
      </c>
      <c r="FV76" s="73">
        <f t="shared" ca="1" si="702"/>
        <v>3.9464611942840664</v>
      </c>
      <c r="FW76" s="73">
        <f t="shared" ca="1" si="703"/>
        <v>24.653133108842756</v>
      </c>
      <c r="FX76" s="73">
        <f t="shared" ca="1" si="704"/>
        <v>48.626260969793485</v>
      </c>
      <c r="FY76" s="73">
        <f t="shared" ca="1" si="705"/>
        <v>41.184878843773696</v>
      </c>
      <c r="FZ76" s="73">
        <f t="shared" ca="1" si="706"/>
        <v>8.1159051006113714</v>
      </c>
      <c r="GA76" s="73">
        <f t="shared" ca="1" si="707"/>
        <v>50.699216055614933</v>
      </c>
      <c r="GB76" s="73">
        <f t="shared" ca="1" si="708"/>
        <v>91.761041348049972</v>
      </c>
      <c r="GC76" s="73">
        <f t="shared" ca="1" si="709"/>
        <v>3307608241.5151191</v>
      </c>
      <c r="GD76" s="2">
        <f t="shared" si="743"/>
        <v>38</v>
      </c>
      <c r="GE76">
        <f t="shared" ca="1" si="710"/>
        <v>1504.0003862618967</v>
      </c>
      <c r="GF76">
        <f t="shared" ca="1" si="711"/>
        <v>1503.7419855836145</v>
      </c>
      <c r="GG76">
        <f t="shared" ca="1" si="712"/>
        <v>1840.7035986490657</v>
      </c>
      <c r="GH76" s="2">
        <f t="shared" ca="1" si="713"/>
        <v>0.43050121125724378</v>
      </c>
      <c r="GI76" s="2">
        <f t="shared" ca="1" si="714"/>
        <v>1.1961023110624338</v>
      </c>
      <c r="GJ76" s="2">
        <f t="shared" ca="1" si="715"/>
        <v>-1.5820480858533523</v>
      </c>
      <c r="GK76" s="2">
        <f t="shared" ca="1" si="716"/>
        <v>1.3916381665494024</v>
      </c>
      <c r="GL76" s="2">
        <f t="shared" ca="1" si="717"/>
        <v>-0.43050121125724378</v>
      </c>
      <c r="GM76">
        <f t="shared" ca="1" si="718"/>
        <v>0.37894143364772165</v>
      </c>
      <c r="GN76">
        <f t="shared" ca="1" si="719"/>
        <v>5.4414705311506321E-2</v>
      </c>
      <c r="GO76">
        <f t="shared" ca="1" si="720"/>
        <v>-0.16284862525264091</v>
      </c>
      <c r="GP76">
        <f t="shared" ca="1" si="721"/>
        <v>-0.15467426145859489</v>
      </c>
      <c r="GQ76">
        <f t="shared" ca="1" si="722"/>
        <v>0.28649743872915756</v>
      </c>
      <c r="GR76">
        <f t="shared" ca="1" si="723"/>
        <v>0.14359661013499064</v>
      </c>
      <c r="GS76">
        <f t="shared" ca="1" si="724"/>
        <v>4.6240341517460315E-2</v>
      </c>
      <c r="GT76">
        <f t="shared" ca="1" si="725"/>
        <v>2.9181273499921689E-3</v>
      </c>
      <c r="GU76">
        <f t="shared" ca="1" si="726"/>
        <v>0.48958173663145244</v>
      </c>
      <c r="GV76">
        <f t="shared" ca="1" si="727"/>
        <v>-0.29188349544529657</v>
      </c>
      <c r="GW76">
        <f t="shared" ca="1" si="728"/>
        <v>0.57663967483387757</v>
      </c>
      <c r="GY76" s="15">
        <f t="shared" si="729"/>
        <v>0.23510833249508462</v>
      </c>
      <c r="GZ76" s="2">
        <f t="shared" si="730"/>
        <v>7.8027141055652297E-2</v>
      </c>
      <c r="HA76" s="2">
        <f t="shared" si="731"/>
        <v>7.1095938401261036E-2</v>
      </c>
      <c r="HB76" s="2">
        <f t="shared" si="732"/>
        <v>0.38423141195199795</v>
      </c>
      <c r="HC76" s="2">
        <f t="shared" si="733"/>
        <v>0.61189253450328707</v>
      </c>
      <c r="HD76" s="2">
        <f t="shared" si="734"/>
        <v>0.20307330069463511</v>
      </c>
      <c r="HE76" s="2">
        <f t="shared" si="735"/>
        <v>0.18503416480207779</v>
      </c>
      <c r="HF76" s="2">
        <f t="shared" si="736"/>
        <v>-1.3560924279023732</v>
      </c>
      <c r="HG76" s="2">
        <f t="shared" si="737"/>
        <v>-1.3473560916797773</v>
      </c>
      <c r="HH76" s="2">
        <f t="shared" si="738"/>
        <v>-1.3517242597910752</v>
      </c>
      <c r="HI76" s="2">
        <f t="shared" si="739"/>
        <v>2.2658338216478269</v>
      </c>
      <c r="HJ76" s="2">
        <f t="shared" si="740"/>
        <v>0.20293497898465229</v>
      </c>
      <c r="HK76" s="2">
        <f t="shared" si="741"/>
        <v>0.34330487797207276</v>
      </c>
      <c r="HL76" s="2">
        <f t="shared" si="742"/>
        <v>0.68346089344331085</v>
      </c>
    </row>
    <row r="77" spans="1:220" ht="20.25">
      <c r="A77" s="296" t="s">
        <v>329</v>
      </c>
      <c r="B77" s="77">
        <v>3500</v>
      </c>
      <c r="C77" s="95">
        <f t="shared" ca="1" si="554"/>
        <v>-3.0712864739304093</v>
      </c>
      <c r="D77" s="70">
        <f t="shared" ca="1" si="555"/>
        <v>-2.8251849172815469</v>
      </c>
      <c r="E77" s="71">
        <f t="shared" ca="1" si="556"/>
        <v>-3.0712864739304147</v>
      </c>
      <c r="F77" s="325">
        <v>45.313605994191988</v>
      </c>
      <c r="G77" s="325">
        <v>2.47820033945478</v>
      </c>
      <c r="H77" s="325">
        <v>9.1569604645892522</v>
      </c>
      <c r="I77" s="325">
        <v>11.963404407531314</v>
      </c>
      <c r="J77" s="325">
        <v>0.1615594297990452</v>
      </c>
      <c r="K77" s="325">
        <v>20.54</v>
      </c>
      <c r="L77" s="325">
        <v>8.0398833688128111</v>
      </c>
      <c r="M77" s="325">
        <v>1.8043892548289158</v>
      </c>
      <c r="N77" s="325">
        <v>0.65811498246881284</v>
      </c>
      <c r="O77" s="328">
        <v>0.01</v>
      </c>
      <c r="P77" s="329"/>
      <c r="Q77" s="84"/>
      <c r="R77" s="72">
        <f t="shared" si="557"/>
        <v>100.12611824167693</v>
      </c>
      <c r="S77" s="106">
        <f t="shared" ca="1" si="558"/>
        <v>3.3443802533538403</v>
      </c>
      <c r="T77" s="104">
        <f t="shared" ca="1" si="559"/>
        <v>0.34783785146821922</v>
      </c>
      <c r="U77" s="107">
        <f t="shared" ca="1" si="560"/>
        <v>1655.0797744221138</v>
      </c>
      <c r="V77" s="107">
        <f t="shared" ca="1" si="561"/>
        <v>1602.3246095700943</v>
      </c>
      <c r="W77" s="105">
        <f t="shared" ca="1" si="562"/>
        <v>1610.407321307031</v>
      </c>
      <c r="X77" s="102">
        <f t="shared" ca="1" si="563"/>
        <v>1692.5458739646497</v>
      </c>
      <c r="Y77" s="102">
        <f t="shared" ca="1" si="564"/>
        <v>1607.796245276455</v>
      </c>
      <c r="Z77" s="103">
        <f t="shared" ca="1" si="565"/>
        <v>1665.1897703950551</v>
      </c>
      <c r="AA77" s="103">
        <f t="shared" ca="1" si="566"/>
        <v>1648.8908357070782</v>
      </c>
      <c r="AB77" s="103">
        <f t="shared" ca="1" si="567"/>
        <v>46.221936211093286</v>
      </c>
      <c r="AC77" s="4">
        <v>13.3</v>
      </c>
      <c r="AD77" s="273">
        <f t="shared" ca="1" si="568"/>
        <v>12.495442354918202</v>
      </c>
      <c r="AE77" s="3">
        <f t="shared" ca="1" si="569"/>
        <v>118.84139049424209</v>
      </c>
      <c r="AF77" s="3">
        <f t="shared" ca="1" si="570"/>
        <v>214.12300237670604</v>
      </c>
      <c r="AG77" s="2">
        <f t="shared" ca="1" si="571"/>
        <v>555.0145905630668</v>
      </c>
      <c r="AH77" s="2">
        <f t="shared" ca="1" si="572"/>
        <v>88.35573680569297</v>
      </c>
      <c r="AI77" s="87">
        <f t="shared" si="573"/>
        <v>0.42045541469752029</v>
      </c>
      <c r="AJ77" s="87">
        <f t="shared" ca="1" si="574"/>
        <v>3.3443802533538629</v>
      </c>
      <c r="AK77" s="87">
        <f t="shared" ca="1" si="575"/>
        <v>0.28153359538784095</v>
      </c>
      <c r="AL77" s="86">
        <f t="shared" ca="1" si="576"/>
        <v>0.26601898290994025</v>
      </c>
      <c r="AM77" s="87">
        <f t="shared" ca="1" si="577"/>
        <v>0.34783785146821922</v>
      </c>
      <c r="AN77" s="87">
        <f t="shared" ca="1" si="578"/>
        <v>0.34783785146821927</v>
      </c>
      <c r="AO77" s="96">
        <f t="shared" ca="1" si="579"/>
        <v>41.228269371403279</v>
      </c>
      <c r="AP77" s="96">
        <f t="shared" ca="1" si="580"/>
        <v>7.8845256552311263</v>
      </c>
      <c r="AQ77" s="96">
        <f t="shared" ca="1" si="581"/>
        <v>50.887204973365591</v>
      </c>
      <c r="AR77" s="73"/>
      <c r="AS77" s="53">
        <f t="shared" ca="1" si="744"/>
        <v>80.01000429950534</v>
      </c>
      <c r="AT77" s="68">
        <f t="shared" ca="1" si="582"/>
        <v>92.00435282685244</v>
      </c>
      <c r="AU77" s="74">
        <f t="shared" ca="1" si="583"/>
        <v>0.34783785146821927</v>
      </c>
      <c r="AV77" s="68">
        <f t="shared" si="584"/>
        <v>2.2028593834817838</v>
      </c>
      <c r="AW77" s="68">
        <f t="shared" ca="1" si="585"/>
        <v>2.2371929074003369</v>
      </c>
      <c r="AX77" s="69">
        <f t="shared" ca="1" si="586"/>
        <v>1661.7839727812843</v>
      </c>
      <c r="AY77" s="69">
        <f t="shared" ca="1" si="587"/>
        <v>1655.0797744221122</v>
      </c>
      <c r="AZ77" s="69">
        <f t="shared" ca="1" si="588"/>
        <v>1602.3246095700931</v>
      </c>
      <c r="BA77" s="75"/>
      <c r="BB77" s="74">
        <f t="shared" ca="1" si="589"/>
        <v>0.15919534064150723</v>
      </c>
      <c r="BC77" s="74">
        <f t="shared" ca="1" si="590"/>
        <v>1.6960981510683548E-2</v>
      </c>
      <c r="BD77" s="68">
        <f t="shared" si="591"/>
        <v>7.4079627874783865E-2</v>
      </c>
      <c r="BE77" s="68">
        <f t="shared" ca="1" si="592"/>
        <v>0.17577852361384</v>
      </c>
      <c r="BF77" s="68">
        <f t="shared" ca="1" si="593"/>
        <v>0.1871582373799997</v>
      </c>
      <c r="BH77" s="68">
        <f t="shared" ca="1" si="594"/>
        <v>0.12698769375655722</v>
      </c>
      <c r="BI77" s="68">
        <f t="shared" ca="1" si="595"/>
        <v>0.19976497369740709</v>
      </c>
      <c r="BK77" s="53">
        <f t="shared" ca="1" si="596"/>
        <v>0.59142917792200844</v>
      </c>
      <c r="BL77" s="53">
        <f t="shared" si="597"/>
        <v>9.0755392997345918E-2</v>
      </c>
      <c r="BM77" s="53">
        <f t="shared" si="598"/>
        <v>0.125994188577019</v>
      </c>
      <c r="BN77" s="53">
        <f t="shared" si="599"/>
        <v>0.31880791496170757</v>
      </c>
      <c r="BO77" s="53">
        <f t="shared" si="600"/>
        <v>0.23183751675266573</v>
      </c>
      <c r="BP77" s="53">
        <f t="shared" si="601"/>
        <v>0.19612373602365529</v>
      </c>
      <c r="BQ77" s="54">
        <f t="shared" si="602"/>
        <v>1453.6733439999998</v>
      </c>
      <c r="BR77" s="262">
        <f t="shared" si="603"/>
        <v>5.1518991498541222</v>
      </c>
      <c r="BS77" s="54">
        <f t="shared" si="604"/>
        <v>1679.8775171773163</v>
      </c>
      <c r="BT77" s="67"/>
      <c r="BU77" s="73">
        <f t="shared" si="605"/>
        <v>0.75422113838535265</v>
      </c>
      <c r="BV77" s="73">
        <f t="shared" si="606"/>
        <v>3.1016274586417772E-2</v>
      </c>
      <c r="BW77" s="73">
        <f t="shared" si="607"/>
        <v>0.17961868310296691</v>
      </c>
      <c r="BX77" s="73">
        <f t="shared" si="608"/>
        <v>0.16650528055019229</v>
      </c>
      <c r="BY77" s="73">
        <f t="shared" si="609"/>
        <v>2.2774094981540061E-3</v>
      </c>
      <c r="BZ77" s="73">
        <f t="shared" si="610"/>
        <v>0.50967741935483868</v>
      </c>
      <c r="CA77" s="73">
        <f t="shared" si="611"/>
        <v>0.14336453938681903</v>
      </c>
      <c r="CB77" s="73">
        <f t="shared" si="612"/>
        <v>5.8224887216163791E-2</v>
      </c>
      <c r="CC77" s="73">
        <f t="shared" si="613"/>
        <v>1.3972717249868637E-2</v>
      </c>
      <c r="CD77" s="73">
        <f t="shared" si="614"/>
        <v>1.3158760444766102E-4</v>
      </c>
      <c r="CE77" s="73">
        <f t="shared" si="615"/>
        <v>0</v>
      </c>
      <c r="CF77" s="73">
        <f t="shared" si="616"/>
        <v>1.8590099369352213</v>
      </c>
      <c r="CG77" s="73">
        <f t="shared" si="617"/>
        <v>0.40571119250108351</v>
      </c>
      <c r="CH77" s="73">
        <f t="shared" si="618"/>
        <v>1.6684297361826615E-2</v>
      </c>
      <c r="CI77" s="73">
        <f t="shared" si="619"/>
        <v>9.6620614841407312E-2</v>
      </c>
      <c r="CJ77" s="73">
        <f t="shared" si="620"/>
        <v>8.9566643642956648E-2</v>
      </c>
      <c r="CK77" s="73">
        <f t="shared" si="621"/>
        <v>1.2250658013741238E-3</v>
      </c>
      <c r="CL77" s="73">
        <f t="shared" si="622"/>
        <v>0.27416605432195645</v>
      </c>
      <c r="CM77" s="73">
        <f t="shared" si="623"/>
        <v>7.7118759043951629E-2</v>
      </c>
      <c r="CN77" s="73">
        <f t="shared" si="624"/>
        <v>3.1320374388183102E-2</v>
      </c>
      <c r="CO77" s="73">
        <f t="shared" si="625"/>
        <v>7.5162143957681962E-3</v>
      </c>
      <c r="CP77" s="73">
        <f t="shared" si="626"/>
        <v>7.0783701492525312E-5</v>
      </c>
      <c r="CQ77" s="73">
        <f t="shared" si="627"/>
        <v>0</v>
      </c>
      <c r="CR77" s="73"/>
      <c r="CS77" s="73">
        <f t="shared" ca="1" si="628"/>
        <v>0.68622285904466174</v>
      </c>
      <c r="CT77" s="73">
        <f t="shared" ca="1" si="629"/>
        <v>0.10973591726139355</v>
      </c>
      <c r="CU77" s="73">
        <f t="shared" ca="1" si="630"/>
        <v>1.2627098008279305</v>
      </c>
      <c r="CV77" s="73">
        <f t="shared" ca="1" si="631"/>
        <v>2.0586685771339859</v>
      </c>
      <c r="CW77" s="73">
        <f t="shared" ca="1" si="632"/>
        <v>0.3333333333333332</v>
      </c>
      <c r="CX77" s="73">
        <f t="shared" ca="1" si="633"/>
        <v>5.3304314487650301E-2</v>
      </c>
      <c r="CY77" s="73">
        <f t="shared" ca="1" si="634"/>
        <v>0.61336235217901647</v>
      </c>
      <c r="CZ77" s="73">
        <f t="shared" si="635"/>
        <v>0.44207652281023885</v>
      </c>
      <c r="DA77" s="73">
        <f t="shared" si="636"/>
        <v>0.40571119250108351</v>
      </c>
      <c r="DB77" s="73">
        <f t="shared" si="637"/>
        <v>-0.47341969916782273</v>
      </c>
      <c r="DC77" s="73"/>
      <c r="DD77" s="73">
        <f t="shared" ca="1" si="638"/>
        <v>1661.7839727812843</v>
      </c>
      <c r="DE77" s="73">
        <f t="shared" ca="1" si="639"/>
        <v>15256.06079107143</v>
      </c>
      <c r="DF77" s="73">
        <f t="shared" si="640"/>
        <v>7.8845381835651471</v>
      </c>
      <c r="DG77" s="73">
        <f t="shared" si="641"/>
        <v>1725.2634821829586</v>
      </c>
      <c r="DH77" s="73">
        <f t="shared" si="642"/>
        <v>1452.1134821829587</v>
      </c>
      <c r="DI77" s="73">
        <f t="shared" si="449"/>
        <v>13602.905801982104</v>
      </c>
      <c r="DJ77" s="73">
        <f t="shared" si="643"/>
        <v>7.8845381835651471</v>
      </c>
      <c r="DK77" s="73">
        <f t="shared" si="644"/>
        <v>1725.2634821829586</v>
      </c>
      <c r="DL77" s="73">
        <f t="shared" ca="1" si="645"/>
        <v>3.3443802533538403</v>
      </c>
      <c r="DM77" s="73">
        <f t="shared" si="646"/>
        <v>-0.47341969916782273</v>
      </c>
      <c r="DN77" s="73">
        <f t="shared" si="647"/>
        <v>0.44207652281023879</v>
      </c>
      <c r="DO77" s="73">
        <f t="shared" si="648"/>
        <v>0.40571119250108351</v>
      </c>
      <c r="DP77" s="73">
        <f t="shared" si="649"/>
        <v>2.2028593834817838</v>
      </c>
      <c r="DQ77" s="73">
        <f t="shared" ca="1" si="650"/>
        <v>15256.127159232798</v>
      </c>
      <c r="DR77" s="73">
        <f t="shared" si="651"/>
        <v>7.8843149563930108</v>
      </c>
      <c r="DS77" s="73">
        <f t="shared" ca="1" si="652"/>
        <v>1661.8471739602232</v>
      </c>
      <c r="DT77" s="73">
        <f t="shared" si="653"/>
        <v>1452.1805461839699</v>
      </c>
      <c r="DU77" s="73">
        <f t="shared" ca="1" si="654"/>
        <v>1610.407321307031</v>
      </c>
      <c r="DV77" s="76">
        <f t="shared" ca="1" si="655"/>
        <v>2.2371929074003369</v>
      </c>
      <c r="DW77" s="73">
        <f t="shared" ca="1" si="656"/>
        <v>2.8372648219204786</v>
      </c>
      <c r="DX77" s="73">
        <f t="shared" ca="1" si="657"/>
        <v>4614.2419081572634</v>
      </c>
      <c r="DY77" s="73">
        <f t="shared" ca="1" si="658"/>
        <v>1626.2993403040857</v>
      </c>
      <c r="DZ77" s="73">
        <f t="shared" ca="1" si="659"/>
        <v>3.5123269767994647</v>
      </c>
      <c r="EA77" s="73"/>
      <c r="EB77" s="73">
        <f t="shared" si="660"/>
        <v>0.75422113838535265</v>
      </c>
      <c r="EC77" s="73">
        <f t="shared" si="661"/>
        <v>3.1016274586417772E-2</v>
      </c>
      <c r="ED77" s="73">
        <f t="shared" si="662"/>
        <v>8.9809341551483457E-2</v>
      </c>
      <c r="EE77" s="73">
        <f t="shared" si="663"/>
        <v>0.16650528055019229</v>
      </c>
      <c r="EF77" s="73">
        <f t="shared" si="664"/>
        <v>2.2774094981540061E-3</v>
      </c>
      <c r="EG77" s="73">
        <f t="shared" si="665"/>
        <v>0.50967741935483868</v>
      </c>
      <c r="EH77" s="73">
        <f t="shared" si="666"/>
        <v>0.14336453938681903</v>
      </c>
      <c r="EI77" s="73">
        <f t="shared" si="667"/>
        <v>2.9112443608081896E-2</v>
      </c>
      <c r="EJ77" s="73">
        <f t="shared" si="668"/>
        <v>6.9863586249343185E-3</v>
      </c>
      <c r="EK77" s="73">
        <f t="shared" si="669"/>
        <v>6.5793802223830508E-5</v>
      </c>
      <c r="EL77" s="73">
        <f t="shared" si="670"/>
        <v>0</v>
      </c>
      <c r="EM77" s="73">
        <f t="shared" si="671"/>
        <v>1.7330359993484981</v>
      </c>
      <c r="EN77" s="73">
        <f t="shared" si="672"/>
        <v>0.43520223392294666</v>
      </c>
      <c r="EO77" s="73">
        <f t="shared" si="673"/>
        <v>1.7897074612459148E-2</v>
      </c>
      <c r="EP77" s="73">
        <f t="shared" si="674"/>
        <v>5.1821971144999625E-2</v>
      </c>
      <c r="EQ77" s="73">
        <f t="shared" si="675"/>
        <v>9.6077219753534712E-2</v>
      </c>
      <c r="ER77" s="73">
        <f t="shared" si="676"/>
        <v>1.3141155169368408E-3</v>
      </c>
      <c r="ES77" s="73">
        <f t="shared" si="677"/>
        <v>0.29409511374630543</v>
      </c>
      <c r="ET77" s="73">
        <f t="shared" si="678"/>
        <v>8.2724501649541163E-2</v>
      </c>
      <c r="EU77" s="73">
        <f t="shared" si="679"/>
        <v>1.6798522142082543E-2</v>
      </c>
      <c r="EV77" s="73">
        <f t="shared" si="680"/>
        <v>4.0312830359904277E-3</v>
      </c>
      <c r="EW77" s="73">
        <f t="shared" si="681"/>
        <v>3.7964475203379757E-5</v>
      </c>
      <c r="EX77" s="73">
        <f t="shared" si="682"/>
        <v>0</v>
      </c>
      <c r="EY77" s="73">
        <f t="shared" si="683"/>
        <v>0.99999999999999989</v>
      </c>
      <c r="EZ77" s="73">
        <f t="shared" si="684"/>
        <v>9.6620614841407312E-2</v>
      </c>
      <c r="FA77" s="73">
        <f t="shared" si="685"/>
        <v>0.51901610470431747</v>
      </c>
      <c r="FB77" s="73">
        <f t="shared" si="686"/>
        <v>1.4513228947423846</v>
      </c>
      <c r="FC77" s="73">
        <f t="shared" si="687"/>
        <v>0.82658137066749937</v>
      </c>
      <c r="FD77" s="73">
        <f t="shared" si="688"/>
        <v>1.592592914122388</v>
      </c>
      <c r="FE77" s="73">
        <f t="shared" ca="1" si="689"/>
        <v>0.15378389102776638</v>
      </c>
      <c r="FF77" s="73">
        <f t="shared" ca="1" si="690"/>
        <v>1.1299703843728418E-2</v>
      </c>
      <c r="FG77" s="73">
        <f t="shared" ca="1" si="691"/>
        <v>7.3477812066077869E-2</v>
      </c>
      <c r="FH77" s="73">
        <f t="shared" ca="1" si="692"/>
        <v>0.24984370236583345</v>
      </c>
      <c r="FI77" s="73">
        <f t="shared" ca="1" si="693"/>
        <v>8.6905096633796752E-2</v>
      </c>
      <c r="FJ77" s="73">
        <f t="shared" ca="1" si="694"/>
        <v>0.34783785146821927</v>
      </c>
      <c r="FK77" s="73">
        <f t="shared" ca="1" si="695"/>
        <v>8.690509663379678E-2</v>
      </c>
      <c r="FL77" s="73">
        <f t="shared" ca="1" si="696"/>
        <v>8.6905096633796738E-2</v>
      </c>
      <c r="FM77" s="73"/>
      <c r="FN77" s="73"/>
      <c r="FO77" s="73"/>
      <c r="FP77" s="73">
        <f t="shared" ca="1" si="697"/>
        <v>1.8400870565370491</v>
      </c>
      <c r="FQ77" s="73">
        <f t="shared" ca="1" si="698"/>
        <v>0.15991294346295093</v>
      </c>
      <c r="FR77" s="73">
        <f t="shared" si="479"/>
        <v>0.33333333333333331</v>
      </c>
      <c r="FS77" s="73">
        <f t="shared" ca="1" si="699"/>
        <v>5.3304314487650307E-2</v>
      </c>
      <c r="FT77" s="73">
        <f t="shared" ca="1" si="700"/>
        <v>0.61336235217901636</v>
      </c>
      <c r="FU77" s="73">
        <f t="shared" si="701"/>
        <v>20.026666666666664</v>
      </c>
      <c r="FV77" s="73">
        <f t="shared" ca="1" si="702"/>
        <v>3.8299149959376741</v>
      </c>
      <c r="FW77" s="73">
        <f t="shared" ca="1" si="703"/>
        <v>24.718502792814359</v>
      </c>
      <c r="FX77" s="73">
        <f t="shared" ca="1" si="704"/>
        <v>48.575084455418697</v>
      </c>
      <c r="FY77" s="73">
        <f t="shared" ca="1" si="705"/>
        <v>41.228269371403279</v>
      </c>
      <c r="FZ77" s="73">
        <f t="shared" ca="1" si="706"/>
        <v>7.8845256552311263</v>
      </c>
      <c r="GA77" s="73">
        <f t="shared" ca="1" si="707"/>
        <v>50.887204973365591</v>
      </c>
      <c r="GB77" s="73">
        <f t="shared" ca="1" si="708"/>
        <v>92.00435282685244</v>
      </c>
      <c r="GC77" s="73">
        <f t="shared" ca="1" si="709"/>
        <v>3344380253.3538404</v>
      </c>
      <c r="GD77" s="2">
        <f t="shared" si="743"/>
        <v>38</v>
      </c>
      <c r="GE77">
        <f t="shared" ca="1" si="710"/>
        <v>1507.6299564860396</v>
      </c>
      <c r="GF77">
        <f t="shared" ca="1" si="711"/>
        <v>1507.3805118305916</v>
      </c>
      <c r="GG77">
        <f t="shared" ca="1" si="712"/>
        <v>1842.5649129222022</v>
      </c>
      <c r="GH77" s="2">
        <f t="shared" ca="1" si="713"/>
        <v>0.44065076450605456</v>
      </c>
      <c r="GI77" s="2">
        <f t="shared" ca="1" si="714"/>
        <v>1.1849971634871401</v>
      </c>
      <c r="GJ77" s="2">
        <f t="shared" ca="1" si="715"/>
        <v>-1.5610144950816038</v>
      </c>
      <c r="GK77" s="2">
        <f t="shared" ca="1" si="716"/>
        <v>1.381672951341109</v>
      </c>
      <c r="GL77" s="2">
        <f t="shared" ca="1" si="717"/>
        <v>-0.44065076450605456</v>
      </c>
      <c r="GM77">
        <f t="shared" ca="1" si="718"/>
        <v>0.37660009521221322</v>
      </c>
      <c r="GN77">
        <f t="shared" ca="1" si="719"/>
        <v>5.3412299607157883E-2</v>
      </c>
      <c r="GO77">
        <f t="shared" ca="1" si="720"/>
        <v>-0.16149626587185167</v>
      </c>
      <c r="GP77">
        <f t="shared" ca="1" si="721"/>
        <v>-0.15946276001073215</v>
      </c>
      <c r="GQ77">
        <f t="shared" ca="1" si="722"/>
        <v>0.28588462567231337</v>
      </c>
      <c r="GR77">
        <f t="shared" ca="1" si="723"/>
        <v>0.14182763171384805</v>
      </c>
      <c r="GS77">
        <f t="shared" ca="1" si="724"/>
        <v>5.1378793746038348E-2</v>
      </c>
      <c r="GT77">
        <f t="shared" ca="1" si="725"/>
        <v>2.9895308836238275E-3</v>
      </c>
      <c r="GU77">
        <f t="shared" ca="1" si="726"/>
        <v>0.50186970693515676</v>
      </c>
      <c r="GV77">
        <f t="shared" ca="1" si="727"/>
        <v>-0.28704062422535886</v>
      </c>
      <c r="GW77">
        <f t="shared" ca="1" si="728"/>
        <v>0.59142917792201111</v>
      </c>
      <c r="GY77" s="15">
        <f t="shared" si="729"/>
        <v>0.21085114144933814</v>
      </c>
      <c r="GZ77" s="2">
        <f t="shared" si="730"/>
        <v>6.9757010232662148E-2</v>
      </c>
      <c r="HA77" s="2">
        <f t="shared" si="731"/>
        <v>3.9046722703897301E-2</v>
      </c>
      <c r="HB77" s="2">
        <f t="shared" si="732"/>
        <v>0.31965487438589757</v>
      </c>
      <c r="HC77" s="2">
        <f t="shared" si="733"/>
        <v>0.65962123009828377</v>
      </c>
      <c r="HD77" s="2">
        <f t="shared" si="734"/>
        <v>0.21822601756558624</v>
      </c>
      <c r="HE77" s="2">
        <f t="shared" si="735"/>
        <v>0.12215275233613003</v>
      </c>
      <c r="HF77" s="2">
        <f t="shared" si="736"/>
        <v>-1.3835109843517637</v>
      </c>
      <c r="HG77" s="2">
        <f t="shared" si="737"/>
        <v>-1.3675361781655284</v>
      </c>
      <c r="HH77" s="2">
        <f t="shared" si="738"/>
        <v>-1.3755235812586459</v>
      </c>
      <c r="HI77" s="2">
        <f t="shared" si="739"/>
        <v>1.8480769177475884</v>
      </c>
      <c r="HJ77" s="2">
        <f t="shared" si="740"/>
        <v>0.256150928778616</v>
      </c>
      <c r="HK77" s="2">
        <f t="shared" si="741"/>
        <v>0.34532041661886603</v>
      </c>
      <c r="HL77" s="2">
        <f t="shared" si="742"/>
        <v>0.67037773921202348</v>
      </c>
    </row>
    <row r="78" spans="1:220" ht="20.25">
      <c r="A78" s="150" t="s">
        <v>330</v>
      </c>
      <c r="B78" s="77">
        <v>3500</v>
      </c>
      <c r="C78" s="95">
        <f t="shared" ca="1" si="554"/>
        <v>-3.2113670570412114</v>
      </c>
      <c r="D78" s="70">
        <f t="shared" ca="1" si="555"/>
        <v>-2.9791748700638898</v>
      </c>
      <c r="E78" s="71">
        <f t="shared" ca="1" si="556"/>
        <v>-3.2113670570412114</v>
      </c>
      <c r="F78" s="177">
        <v>44.883851373345593</v>
      </c>
      <c r="G78" s="177">
        <v>2.1687699779762966</v>
      </c>
      <c r="H78" s="177">
        <v>9.7597395960828948</v>
      </c>
      <c r="I78" s="177">
        <v>11.758801294560801</v>
      </c>
      <c r="J78" s="177">
        <v>0.13893802392968257</v>
      </c>
      <c r="K78" s="177">
        <v>19.420000000000002</v>
      </c>
      <c r="L78" s="177">
        <v>9.0468923911317471</v>
      </c>
      <c r="M78" s="177">
        <v>1.825761391811406</v>
      </c>
      <c r="N78" s="177">
        <v>0.68763610196531222</v>
      </c>
      <c r="O78" s="328">
        <v>0.01</v>
      </c>
      <c r="P78" s="177">
        <v>0.3</v>
      </c>
      <c r="Q78" s="84"/>
      <c r="R78" s="72">
        <f t="shared" si="557"/>
        <v>100.00039015080374</v>
      </c>
      <c r="S78" s="106">
        <f t="shared" ca="1" si="558"/>
        <v>3.2787166095852482</v>
      </c>
      <c r="T78" s="104">
        <f t="shared" ca="1" si="559"/>
        <v>0.34614622970294046</v>
      </c>
      <c r="U78" s="107">
        <f t="shared" ca="1" si="560"/>
        <v>1634.7643286286232</v>
      </c>
      <c r="V78" s="107">
        <f t="shared" ca="1" si="561"/>
        <v>1584.2982785338361</v>
      </c>
      <c r="W78" s="105">
        <f t="shared" ca="1" si="562"/>
        <v>1591.8303981150768</v>
      </c>
      <c r="X78" s="102">
        <f t="shared" ca="1" si="563"/>
        <v>1651.0152275120954</v>
      </c>
      <c r="Y78" s="102">
        <f t="shared" ca="1" si="564"/>
        <v>1568.5108223721124</v>
      </c>
      <c r="Z78" s="103">
        <f t="shared" ca="1" si="565"/>
        <v>1625.3429792970051</v>
      </c>
      <c r="AA78" s="103">
        <f t="shared" ca="1" si="566"/>
        <v>1612.8284526435873</v>
      </c>
      <c r="AB78" s="103">
        <f t="shared" ca="1" si="567"/>
        <v>44.037134937099573</v>
      </c>
      <c r="AC78" s="4">
        <v>13.3</v>
      </c>
      <c r="AD78" s="273">
        <f t="shared" ca="1" si="568"/>
        <v>12.362313737882374</v>
      </c>
      <c r="AE78" s="3">
        <f t="shared" ca="1" si="569"/>
        <v>117.72345764223192</v>
      </c>
      <c r="AF78" s="3">
        <f t="shared" ca="1" si="570"/>
        <v>213.99402422454284</v>
      </c>
      <c r="AG78" s="2">
        <f t="shared" ca="1" si="571"/>
        <v>550.12497694190427</v>
      </c>
      <c r="AH78" s="2">
        <f t="shared" ca="1" si="572"/>
        <v>69.062697495050216</v>
      </c>
      <c r="AI78" s="87">
        <f t="shared" si="573"/>
        <v>0.42051768735819656</v>
      </c>
      <c r="AJ78" s="87">
        <f t="shared" ca="1" si="574"/>
        <v>3.278716609585254</v>
      </c>
      <c r="AK78" s="87">
        <f t="shared" ca="1" si="575"/>
        <v>0.28020975062191472</v>
      </c>
      <c r="AL78" s="86">
        <f t="shared" ca="1" si="576"/>
        <v>0.26325205058731521</v>
      </c>
      <c r="AM78" s="87">
        <f t="shared" ca="1" si="577"/>
        <v>0.34614622970294046</v>
      </c>
      <c r="AN78" s="87">
        <f t="shared" ca="1" si="578"/>
        <v>0.34614622970294018</v>
      </c>
      <c r="AO78" s="96">
        <f t="shared" ca="1" si="579"/>
        <v>41.190606946502605</v>
      </c>
      <c r="AP78" s="96">
        <f t="shared" ca="1" si="580"/>
        <v>8.0853600645193584</v>
      </c>
      <c r="AQ78" s="96">
        <f t="shared" ca="1" si="581"/>
        <v>50.724032988978031</v>
      </c>
      <c r="AR78" s="73"/>
      <c r="AS78" s="53">
        <f t="shared" ca="1" si="744"/>
        <v>79.473060780178457</v>
      </c>
      <c r="AT78" s="68">
        <f t="shared" ca="1" si="582"/>
        <v>91.793190933605572</v>
      </c>
      <c r="AU78" s="74">
        <f t="shared" ca="1" si="583"/>
        <v>0.34614622970294018</v>
      </c>
      <c r="AV78" s="68">
        <f t="shared" si="584"/>
        <v>2.3137220285941464</v>
      </c>
      <c r="AW78" s="68">
        <f t="shared" ca="1" si="585"/>
        <v>2.3523292590801077</v>
      </c>
      <c r="AX78" s="69">
        <f t="shared" ca="1" si="586"/>
        <v>1639.8730009569949</v>
      </c>
      <c r="AY78" s="69">
        <f t="shared" ca="1" si="587"/>
        <v>1634.7643286286232</v>
      </c>
      <c r="AZ78" s="69">
        <f t="shared" ca="1" si="588"/>
        <v>1584.2982785338359</v>
      </c>
      <c r="BA78" s="75"/>
      <c r="BB78" s="74">
        <f t="shared" ca="1" si="589"/>
        <v>0.12554001434176576</v>
      </c>
      <c r="BC78" s="74">
        <f t="shared" ca="1" si="590"/>
        <v>9.3109470768183312E-3</v>
      </c>
      <c r="BD78" s="68">
        <f t="shared" si="591"/>
        <v>4.1256821512324099E-2</v>
      </c>
      <c r="BE78" s="68">
        <f t="shared" ca="1" si="592"/>
        <v>0.1420615555132082</v>
      </c>
      <c r="BF78" s="68">
        <f t="shared" ca="1" si="593"/>
        <v>0.1636124571937452</v>
      </c>
      <c r="BH78" s="68">
        <f t="shared" ca="1" si="594"/>
        <v>7.9941549163406053E-2</v>
      </c>
      <c r="BI78" s="68">
        <f t="shared" ca="1" si="595"/>
        <v>0.1552292231477837</v>
      </c>
      <c r="BK78" s="53">
        <f t="shared" ca="1" si="596"/>
        <v>0.52685292746485746</v>
      </c>
      <c r="BL78" s="53">
        <f t="shared" si="597"/>
        <v>2.3571998014453647E-2</v>
      </c>
      <c r="BM78" s="53">
        <f t="shared" si="598"/>
        <v>2.3395734824492281E-2</v>
      </c>
      <c r="BN78" s="53">
        <f t="shared" si="599"/>
        <v>0.29893090300044844</v>
      </c>
      <c r="BO78" s="53">
        <f t="shared" si="600"/>
        <v>0.15101796919741506</v>
      </c>
      <c r="BP78" s="53">
        <f t="shared" si="601"/>
        <v>0.11581230983084967</v>
      </c>
      <c r="BQ78" s="54">
        <f t="shared" si="602"/>
        <v>1433.5061759999999</v>
      </c>
      <c r="BR78" s="262">
        <f t="shared" si="603"/>
        <v>4.4840300164503981</v>
      </c>
      <c r="BS78" s="54">
        <f t="shared" si="604"/>
        <v>1636.7195389776675</v>
      </c>
      <c r="BT78" s="67"/>
      <c r="BU78" s="73">
        <f t="shared" si="605"/>
        <v>0.74706809875741664</v>
      </c>
      <c r="BV78" s="73">
        <f t="shared" si="606"/>
        <v>2.7143554167412973E-2</v>
      </c>
      <c r="BW78" s="73">
        <f t="shared" si="607"/>
        <v>0.19144251855792263</v>
      </c>
      <c r="BX78" s="73">
        <f t="shared" si="608"/>
        <v>0.16365763805930134</v>
      </c>
      <c r="BY78" s="73">
        <f t="shared" si="609"/>
        <v>1.9585286711260586E-3</v>
      </c>
      <c r="BZ78" s="73">
        <f t="shared" si="610"/>
        <v>0.48188585607940454</v>
      </c>
      <c r="CA78" s="73">
        <f t="shared" si="611"/>
        <v>0.16132119099735642</v>
      </c>
      <c r="CB78" s="73">
        <f t="shared" si="612"/>
        <v>5.891453345632159E-2</v>
      </c>
      <c r="CC78" s="73">
        <f t="shared" si="613"/>
        <v>1.4599492610728496E-2</v>
      </c>
      <c r="CD78" s="73">
        <f t="shared" si="614"/>
        <v>1.3158760444766102E-4</v>
      </c>
      <c r="CE78" s="73">
        <f t="shared" si="615"/>
        <v>4.2271382274200369E-3</v>
      </c>
      <c r="CF78" s="73">
        <f t="shared" si="616"/>
        <v>1.8523501371888584</v>
      </c>
      <c r="CG78" s="73">
        <f t="shared" si="617"/>
        <v>0.40330825353092975</v>
      </c>
      <c r="CH78" s="73">
        <f t="shared" si="618"/>
        <v>1.46535763527981E-2</v>
      </c>
      <c r="CI78" s="73">
        <f t="shared" si="619"/>
        <v>0.10335115090522645</v>
      </c>
      <c r="CJ78" s="73">
        <f t="shared" si="620"/>
        <v>8.8351351493227676E-2</v>
      </c>
      <c r="CK78" s="73">
        <f t="shared" si="621"/>
        <v>1.0573209847347421E-3</v>
      </c>
      <c r="CL78" s="73">
        <f t="shared" si="622"/>
        <v>0.26014836310089756</v>
      </c>
      <c r="CM78" s="73">
        <f t="shared" si="623"/>
        <v>8.7090009474223254E-2</v>
      </c>
      <c r="CN78" s="73">
        <f t="shared" si="624"/>
        <v>3.1805290087181227E-2</v>
      </c>
      <c r="CO78" s="73">
        <f t="shared" si="625"/>
        <v>7.8816052740897057E-3</v>
      </c>
      <c r="CP78" s="73">
        <f t="shared" si="626"/>
        <v>7.1038191865474971E-5</v>
      </c>
      <c r="CQ78" s="73">
        <f t="shared" si="627"/>
        <v>2.2820406048260273E-3</v>
      </c>
      <c r="CR78" s="73"/>
      <c r="CS78" s="73">
        <f t="shared" ca="1" si="628"/>
        <v>0.68559598779132169</v>
      </c>
      <c r="CT78" s="73">
        <f t="shared" ca="1" si="629"/>
        <v>0.11253110736978927</v>
      </c>
      <c r="CU78" s="73">
        <f t="shared" ca="1" si="630"/>
        <v>1.2586608682128544</v>
      </c>
      <c r="CV78" s="73">
        <f t="shared" ca="1" si="631"/>
        <v>2.0567879633739654</v>
      </c>
      <c r="CW78" s="73">
        <f t="shared" ca="1" si="632"/>
        <v>0.33333333333333326</v>
      </c>
      <c r="CX78" s="73">
        <f t="shared" ca="1" si="633"/>
        <v>5.4712060442629523E-2</v>
      </c>
      <c r="CY78" s="73">
        <f t="shared" ca="1" si="634"/>
        <v>0.61195460622403719</v>
      </c>
      <c r="CZ78" s="73">
        <f t="shared" si="635"/>
        <v>0.43664704505308322</v>
      </c>
      <c r="DA78" s="73">
        <f t="shared" si="636"/>
        <v>0.40330825353092975</v>
      </c>
      <c r="DB78" s="73">
        <f t="shared" si="637"/>
        <v>-0.48515238507668113</v>
      </c>
      <c r="DC78" s="73"/>
      <c r="DD78" s="73">
        <f t="shared" ca="1" si="638"/>
        <v>1639.8730009569949</v>
      </c>
      <c r="DE78" s="73">
        <f t="shared" ca="1" si="639"/>
        <v>15223.601734989341</v>
      </c>
      <c r="DF78" s="73">
        <f t="shared" si="640"/>
        <v>7.9578769974922894</v>
      </c>
      <c r="DG78" s="73">
        <f t="shared" si="641"/>
        <v>1709.3636664990793</v>
      </c>
      <c r="DH78" s="73">
        <f t="shared" si="642"/>
        <v>1436.2136664990794</v>
      </c>
      <c r="DI78" s="73">
        <f t="shared" si="449"/>
        <v>13602.905801982104</v>
      </c>
      <c r="DJ78" s="73">
        <f t="shared" si="643"/>
        <v>7.9578769974922894</v>
      </c>
      <c r="DK78" s="73">
        <f t="shared" si="644"/>
        <v>1709.3636664990793</v>
      </c>
      <c r="DL78" s="73">
        <f t="shared" ca="1" si="645"/>
        <v>3.2787166095852482</v>
      </c>
      <c r="DM78" s="73">
        <f t="shared" si="646"/>
        <v>-0.48515238507668113</v>
      </c>
      <c r="DN78" s="73">
        <f t="shared" si="647"/>
        <v>0.43664704505308322</v>
      </c>
      <c r="DO78" s="73">
        <f t="shared" si="648"/>
        <v>0.40330825353092975</v>
      </c>
      <c r="DP78" s="73">
        <f t="shared" si="649"/>
        <v>2.3137220285941464</v>
      </c>
      <c r="DQ78" s="73">
        <f t="shared" ca="1" si="650"/>
        <v>15223.669620117984</v>
      </c>
      <c r="DR78" s="73">
        <f t="shared" si="651"/>
        <v>7.957653770320154</v>
      </c>
      <c r="DS78" s="73">
        <f t="shared" ca="1" si="652"/>
        <v>1639.9351956512683</v>
      </c>
      <c r="DT78" s="73">
        <f t="shared" si="653"/>
        <v>1436.2796664094139</v>
      </c>
      <c r="DU78" s="73">
        <f t="shared" ca="1" si="654"/>
        <v>1591.8303981150768</v>
      </c>
      <c r="DV78" s="76">
        <f t="shared" ca="1" si="655"/>
        <v>2.3523292590801077</v>
      </c>
      <c r="DW78" s="73">
        <f t="shared" ca="1" si="656"/>
        <v>2.8848457295373486</v>
      </c>
      <c r="DX78" s="73">
        <f t="shared" ca="1" si="657"/>
        <v>4610.6244980220517</v>
      </c>
      <c r="DY78" s="73">
        <f t="shared" ca="1" si="658"/>
        <v>1598.2222032931625</v>
      </c>
      <c r="DZ78" s="73">
        <f t="shared" ca="1" si="659"/>
        <v>3.7040731573916714</v>
      </c>
      <c r="EA78" s="73"/>
      <c r="EB78" s="73">
        <f t="shared" si="660"/>
        <v>0.74706809875741664</v>
      </c>
      <c r="EC78" s="73">
        <f t="shared" si="661"/>
        <v>2.7143554167412973E-2</v>
      </c>
      <c r="ED78" s="73">
        <f t="shared" si="662"/>
        <v>9.5721259278961315E-2</v>
      </c>
      <c r="EE78" s="73">
        <f t="shared" si="663"/>
        <v>0.16365763805930134</v>
      </c>
      <c r="EF78" s="73">
        <f t="shared" si="664"/>
        <v>1.9585286711260586E-3</v>
      </c>
      <c r="EG78" s="73">
        <f t="shared" si="665"/>
        <v>0.48188585607940454</v>
      </c>
      <c r="EH78" s="73">
        <f t="shared" si="666"/>
        <v>0.16132119099735642</v>
      </c>
      <c r="EI78" s="73">
        <f t="shared" si="667"/>
        <v>2.9457266728160795E-2</v>
      </c>
      <c r="EJ78" s="73">
        <f t="shared" si="668"/>
        <v>7.299746305364248E-3</v>
      </c>
      <c r="EK78" s="73">
        <f t="shared" si="669"/>
        <v>6.5793802223830508E-5</v>
      </c>
      <c r="EL78" s="73">
        <f t="shared" si="670"/>
        <v>2.1135691137100184E-3</v>
      </c>
      <c r="EM78" s="73">
        <f t="shared" si="671"/>
        <v>1.7176925019604383</v>
      </c>
      <c r="EN78" s="73">
        <f t="shared" si="672"/>
        <v>0.4349254001544352</v>
      </c>
      <c r="EO78" s="73">
        <f t="shared" si="673"/>
        <v>1.5802336062149348E-2</v>
      </c>
      <c r="EP78" s="73">
        <f t="shared" si="674"/>
        <v>5.5726656063126927E-2</v>
      </c>
      <c r="EQ78" s="73">
        <f t="shared" si="675"/>
        <v>9.5277611023227654E-2</v>
      </c>
      <c r="ER78" s="73">
        <f t="shared" si="676"/>
        <v>1.1402091287531085E-3</v>
      </c>
      <c r="ES78" s="73">
        <f t="shared" si="677"/>
        <v>0.28054256249556786</v>
      </c>
      <c r="ET78" s="73">
        <f t="shared" si="678"/>
        <v>9.3917386734376024E-2</v>
      </c>
      <c r="EU78" s="73">
        <f t="shared" si="679"/>
        <v>1.7149324861429272E-2</v>
      </c>
      <c r="EV78" s="73">
        <f t="shared" si="680"/>
        <v>4.2497398673120449E-3</v>
      </c>
      <c r="EW78" s="73">
        <f t="shared" si="681"/>
        <v>3.830359749998249E-5</v>
      </c>
      <c r="EX78" s="73">
        <f t="shared" si="682"/>
        <v>1.2304700121225178E-3</v>
      </c>
      <c r="EY78" s="73">
        <f t="shared" si="683"/>
        <v>0.99999999999999989</v>
      </c>
      <c r="EZ78" s="73">
        <f t="shared" si="684"/>
        <v>0.10335115090522645</v>
      </c>
      <c r="FA78" s="73">
        <f t="shared" si="685"/>
        <v>0.52131298078895427</v>
      </c>
      <c r="FB78" s="73">
        <f t="shared" si="686"/>
        <v>1.4532525376588774</v>
      </c>
      <c r="FC78" s="73">
        <f t="shared" si="687"/>
        <v>0.82125315216193773</v>
      </c>
      <c r="FD78" s="73">
        <f t="shared" si="688"/>
        <v>1.5753552710677843</v>
      </c>
      <c r="FE78" s="73">
        <f t="shared" ca="1" si="689"/>
        <v>0.15744260857738437</v>
      </c>
      <c r="FF78" s="73">
        <f t="shared" ca="1" si="690"/>
        <v>1.1408414531405175E-2</v>
      </c>
      <c r="FG78" s="73">
        <f t="shared" ca="1" si="691"/>
        <v>7.2460781960417303E-2</v>
      </c>
      <c r="FH78" s="73">
        <f t="shared" ca="1" si="692"/>
        <v>0.25828801632038301</v>
      </c>
      <c r="FI78" s="73">
        <f t="shared" ca="1" si="693"/>
        <v>8.9405423026752057E-2</v>
      </c>
      <c r="FJ78" s="73">
        <f t="shared" ca="1" si="694"/>
        <v>0.34614622970294018</v>
      </c>
      <c r="FK78" s="73">
        <f t="shared" ca="1" si="695"/>
        <v>8.9405423026752043E-2</v>
      </c>
      <c r="FL78" s="73">
        <f t="shared" ca="1" si="696"/>
        <v>8.9405423026752126E-2</v>
      </c>
      <c r="FM78" s="73"/>
      <c r="FN78" s="73"/>
      <c r="FO78" s="73"/>
      <c r="FP78" s="73">
        <f t="shared" ca="1" si="697"/>
        <v>1.8358638186721115</v>
      </c>
      <c r="FQ78" s="73">
        <f t="shared" ca="1" si="698"/>
        <v>0.16413618132788854</v>
      </c>
      <c r="FR78" s="73">
        <f t="shared" si="479"/>
        <v>0.33333333333333331</v>
      </c>
      <c r="FS78" s="73">
        <f t="shared" ca="1" si="699"/>
        <v>5.4712060442629516E-2</v>
      </c>
      <c r="FT78" s="73">
        <f t="shared" ca="1" si="700"/>
        <v>0.61195460622403719</v>
      </c>
      <c r="FU78" s="73">
        <f t="shared" si="701"/>
        <v>20.026666666666664</v>
      </c>
      <c r="FV78" s="73">
        <f t="shared" ca="1" si="702"/>
        <v>3.9310615428029303</v>
      </c>
      <c r="FW78" s="73">
        <f t="shared" ca="1" si="703"/>
        <v>24.661770630828698</v>
      </c>
      <c r="FX78" s="73">
        <f t="shared" ca="1" si="704"/>
        <v>48.619498840298291</v>
      </c>
      <c r="FY78" s="73">
        <f t="shared" ca="1" si="705"/>
        <v>41.190606946502605</v>
      </c>
      <c r="FZ78" s="73">
        <f t="shared" ca="1" si="706"/>
        <v>8.0853600645193584</v>
      </c>
      <c r="GA78" s="73">
        <f t="shared" ca="1" si="707"/>
        <v>50.724032988978031</v>
      </c>
      <c r="GB78" s="73">
        <f t="shared" ca="1" si="708"/>
        <v>91.793190933605587</v>
      </c>
      <c r="GC78" s="73">
        <f t="shared" ca="1" si="709"/>
        <v>3278716609.5852485</v>
      </c>
      <c r="GD78" s="2">
        <f t="shared" si="743"/>
        <v>38</v>
      </c>
      <c r="GE78">
        <f t="shared" ca="1" si="710"/>
        <v>1501.1388944052776</v>
      </c>
      <c r="GF78">
        <f t="shared" ca="1" si="711"/>
        <v>1500.8735261930078</v>
      </c>
      <c r="GG78">
        <f t="shared" ca="1" si="712"/>
        <v>1839.2350072235456</v>
      </c>
      <c r="GH78" s="2">
        <f t="shared" ca="1" si="713"/>
        <v>0.39570344126591478</v>
      </c>
      <c r="GI78" s="2">
        <f t="shared" ca="1" si="714"/>
        <v>1.2048275839052549</v>
      </c>
      <c r="GJ78" s="2">
        <f t="shared" ca="1" si="715"/>
        <v>-1.5985740993172384</v>
      </c>
      <c r="GK78" s="2">
        <f t="shared" ca="1" si="716"/>
        <v>1.3994677988023976</v>
      </c>
      <c r="GL78" s="2">
        <f t="shared" ca="1" si="717"/>
        <v>-0.39570344126591478</v>
      </c>
      <c r="GM78">
        <f t="shared" ca="1" si="718"/>
        <v>0.38075762340637093</v>
      </c>
      <c r="GN78">
        <f t="shared" ca="1" si="719"/>
        <v>5.5200857246788075E-2</v>
      </c>
      <c r="GO78">
        <f t="shared" ca="1" si="720"/>
        <v>-0.16390062274200959</v>
      </c>
      <c r="GP78">
        <f t="shared" ca="1" si="721"/>
        <v>-0.14137640094489498</v>
      </c>
      <c r="GQ78">
        <f t="shared" ca="1" si="722"/>
        <v>0.28697280135974856</v>
      </c>
      <c r="GR78">
        <f t="shared" ca="1" si="723"/>
        <v>0.14497636778206774</v>
      </c>
      <c r="GS78">
        <f t="shared" ca="1" si="724"/>
        <v>3.2676635449673475E-2</v>
      </c>
      <c r="GT78">
        <f t="shared" ca="1" si="725"/>
        <v>2.863072265399474E-3</v>
      </c>
      <c r="GU78">
        <f t="shared" ca="1" si="726"/>
        <v>0.45688667172977521</v>
      </c>
      <c r="GV78">
        <f t="shared" ca="1" si="727"/>
        <v>-0.31079136767129067</v>
      </c>
      <c r="GW78">
        <f t="shared" ca="1" si="728"/>
        <v>0.52685292746485546</v>
      </c>
      <c r="GY78" s="15">
        <f t="shared" si="729"/>
        <v>0.19728203905134531</v>
      </c>
      <c r="GZ78" s="2">
        <f t="shared" si="730"/>
        <v>7.1567295722776259E-2</v>
      </c>
      <c r="HA78" s="2">
        <f t="shared" si="731"/>
        <v>2.6238674314495558E-2</v>
      </c>
      <c r="HB78" s="2">
        <f t="shared" si="732"/>
        <v>0.2950880090886171</v>
      </c>
      <c r="HC78" s="2">
        <f t="shared" si="733"/>
        <v>0.66855322132760764</v>
      </c>
      <c r="HD78" s="2">
        <f t="shared" si="734"/>
        <v>0.24252864744932442</v>
      </c>
      <c r="HE78" s="2">
        <f t="shared" si="735"/>
        <v>8.8918131223068075E-2</v>
      </c>
      <c r="HF78" s="2">
        <f t="shared" si="736"/>
        <v>-1.332835895145259</v>
      </c>
      <c r="HG78" s="2">
        <f t="shared" si="737"/>
        <v>-1.3501644262602286</v>
      </c>
      <c r="HH78" s="2">
        <f t="shared" si="738"/>
        <v>-1.3415001607027439</v>
      </c>
      <c r="HI78" s="2">
        <f t="shared" si="739"/>
        <v>1.6199649632461253</v>
      </c>
      <c r="HJ78" s="2">
        <f t="shared" si="740"/>
        <v>0.27376273999060219</v>
      </c>
      <c r="HK78" s="2">
        <f t="shared" si="741"/>
        <v>0.34339559193968017</v>
      </c>
      <c r="HL78" s="2">
        <f t="shared" si="742"/>
        <v>0.68204231018936967</v>
      </c>
    </row>
    <row r="79" spans="1:220" ht="20.25">
      <c r="A79" s="150" t="s">
        <v>331</v>
      </c>
      <c r="B79" s="77">
        <v>3500</v>
      </c>
      <c r="C79" s="95">
        <f t="shared" ca="1" si="554"/>
        <v>-3.0147093177712527</v>
      </c>
      <c r="D79" s="70">
        <f t="shared" ca="1" si="555"/>
        <v>-2.7404952686995134</v>
      </c>
      <c r="E79" s="71">
        <f t="shared" ca="1" si="556"/>
        <v>-3.0147093177712527</v>
      </c>
      <c r="F79" s="177">
        <v>44.673994467638323</v>
      </c>
      <c r="G79" s="177">
        <v>2.4833111516413551</v>
      </c>
      <c r="H79" s="177">
        <v>9.1568293790488067</v>
      </c>
      <c r="I79" s="177">
        <v>11.989766544262402</v>
      </c>
      <c r="J79" s="177">
        <v>0.12899519000728732</v>
      </c>
      <c r="K79" s="177">
        <v>19.91</v>
      </c>
      <c r="L79" s="177">
        <v>8.4403023899179441</v>
      </c>
      <c r="M79" s="177">
        <v>1.8209878462929112</v>
      </c>
      <c r="N79" s="177">
        <v>1.0468158332358914</v>
      </c>
      <c r="O79" s="328">
        <v>0.01</v>
      </c>
      <c r="P79" s="177">
        <v>0.4</v>
      </c>
      <c r="Q79" s="84"/>
      <c r="R79" s="72">
        <f t="shared" si="557"/>
        <v>100.06100280204494</v>
      </c>
      <c r="S79" s="106">
        <f t="shared" ca="1" si="558"/>
        <v>3.460211286924479</v>
      </c>
      <c r="T79" s="104">
        <f t="shared" ca="1" si="559"/>
        <v>0.34638125631070382</v>
      </c>
      <c r="U79" s="107">
        <f t="shared" ca="1" si="560"/>
        <v>1659.9047069130359</v>
      </c>
      <c r="V79" s="107">
        <f t="shared" ca="1" si="561"/>
        <v>1602.951689121661</v>
      </c>
      <c r="W79" s="105">
        <f t="shared" ca="1" si="562"/>
        <v>1612.0793204808704</v>
      </c>
      <c r="X79" s="102">
        <f t="shared" ca="1" si="563"/>
        <v>1669.7369169071396</v>
      </c>
      <c r="Y79" s="102">
        <f t="shared" ca="1" si="564"/>
        <v>1579.4139985157842</v>
      </c>
      <c r="Z79" s="103">
        <f t="shared" ca="1" si="565"/>
        <v>1633.1825792496938</v>
      </c>
      <c r="AA79" s="103">
        <f t="shared" ca="1" si="566"/>
        <v>1622.4801371803815</v>
      </c>
      <c r="AB79" s="103">
        <f t="shared" ca="1" si="567"/>
        <v>46.677551813705357</v>
      </c>
      <c r="AC79" s="4">
        <v>13.3</v>
      </c>
      <c r="AD79" s="273">
        <f t="shared" ca="1" si="568"/>
        <v>12.50007212268876</v>
      </c>
      <c r="AE79" s="3">
        <f t="shared" ca="1" si="569"/>
        <v>118.87939088880232</v>
      </c>
      <c r="AF79" s="3">
        <f t="shared" ca="1" si="570"/>
        <v>214.12746296375866</v>
      </c>
      <c r="AG79" s="2">
        <f t="shared" ca="1" si="571"/>
        <v>555.18049503497275</v>
      </c>
      <c r="AH79" s="2">
        <f t="shared" ca="1" si="572"/>
        <v>62.781338705017937</v>
      </c>
      <c r="AI79" s="87">
        <f t="shared" si="573"/>
        <v>0.42972977111605132</v>
      </c>
      <c r="AJ79" s="87">
        <f t="shared" ca="1" si="574"/>
        <v>3.460211286924479</v>
      </c>
      <c r="AK79" s="87">
        <f t="shared" ca="1" si="575"/>
        <v>0.27834341678962748</v>
      </c>
      <c r="AL79" s="86">
        <f t="shared" ca="1" si="576"/>
        <v>0.2603845910111352</v>
      </c>
      <c r="AM79" s="87">
        <f t="shared" ca="1" si="577"/>
        <v>0.34638125631070382</v>
      </c>
      <c r="AN79" s="87">
        <f t="shared" ca="1" si="578"/>
        <v>0.34638125631070371</v>
      </c>
      <c r="AO79" s="96">
        <f t="shared" ca="1" si="579"/>
        <v>41.212509172272405</v>
      </c>
      <c r="AP79" s="96">
        <f t="shared" ca="1" si="580"/>
        <v>7.9685667197951382</v>
      </c>
      <c r="AQ79" s="96">
        <f t="shared" ca="1" si="581"/>
        <v>50.818924107932453</v>
      </c>
      <c r="AR79" s="73"/>
      <c r="AS79" s="53">
        <f t="shared" ca="1" si="744"/>
        <v>79.75058373782214</v>
      </c>
      <c r="AT79" s="68">
        <f t="shared" ca="1" si="582"/>
        <v>91.916037088622204</v>
      </c>
      <c r="AU79" s="74">
        <f t="shared" ca="1" si="583"/>
        <v>0.34638125631070371</v>
      </c>
      <c r="AV79" s="68">
        <f t="shared" si="584"/>
        <v>2.2602875718512858</v>
      </c>
      <c r="AW79" s="68">
        <f t="shared" ca="1" si="585"/>
        <v>2.2998824108119975</v>
      </c>
      <c r="AX79" s="69">
        <f t="shared" ca="1" si="586"/>
        <v>1665.661709794183</v>
      </c>
      <c r="AY79" s="69">
        <f t="shared" ca="1" si="587"/>
        <v>1659.9047069130359</v>
      </c>
      <c r="AZ79" s="69">
        <f t="shared" ca="1" si="588"/>
        <v>1602.951689121661</v>
      </c>
      <c r="BA79" s="75"/>
      <c r="BB79" s="74">
        <f t="shared" ca="1" si="589"/>
        <v>0.11308275284610481</v>
      </c>
      <c r="BC79" s="74">
        <f t="shared" ca="1" si="590"/>
        <v>4.9464681487524004E-2</v>
      </c>
      <c r="BD79" s="68">
        <f t="shared" si="591"/>
        <v>3.3342903025684184E-2</v>
      </c>
      <c r="BE79" s="68">
        <f t="shared" ca="1" si="592"/>
        <v>9.0870469593564596E-2</v>
      </c>
      <c r="BF79" s="68">
        <f t="shared" ca="1" si="593"/>
        <v>0.16729354575348404</v>
      </c>
      <c r="BH79" s="68">
        <f t="shared" ca="1" si="594"/>
        <v>8.4055434676243407E-2</v>
      </c>
      <c r="BI79" s="68">
        <f t="shared" ca="1" si="595"/>
        <v>0.16082409301168643</v>
      </c>
      <c r="BK79" s="53">
        <f t="shared" ca="1" si="596"/>
        <v>0.58077283054616302</v>
      </c>
      <c r="BL79" s="53">
        <f t="shared" si="597"/>
        <v>3.0106129734438412E-2</v>
      </c>
      <c r="BM79" s="53">
        <f t="shared" si="598"/>
        <v>3.1203009679245608E-2</v>
      </c>
      <c r="BN79" s="53">
        <f t="shared" si="599"/>
        <v>0.31376124174441966</v>
      </c>
      <c r="BO79" s="53">
        <f t="shared" si="600"/>
        <v>0.18580481215873695</v>
      </c>
      <c r="BP79" s="53">
        <f t="shared" si="601"/>
        <v>0.14852726474324074</v>
      </c>
      <c r="BQ79" s="54">
        <f t="shared" si="602"/>
        <v>1442.3787040000002</v>
      </c>
      <c r="BR79" s="262">
        <f t="shared" si="603"/>
        <v>4.7638897008963941</v>
      </c>
      <c r="BS79" s="54">
        <f t="shared" si="604"/>
        <v>1655.407642246224</v>
      </c>
      <c r="BT79" s="67"/>
      <c r="BU79" s="73">
        <f t="shared" si="605"/>
        <v>0.74357514093938626</v>
      </c>
      <c r="BV79" s="73">
        <f t="shared" si="606"/>
        <v>3.1080239695135858E-2</v>
      </c>
      <c r="BW79" s="73">
        <f t="shared" si="607"/>
        <v>0.17961611178989423</v>
      </c>
      <c r="BX79" s="73">
        <f t="shared" si="608"/>
        <v>0.16687218572390261</v>
      </c>
      <c r="BY79" s="73">
        <f t="shared" si="609"/>
        <v>1.8183703130432382E-3</v>
      </c>
      <c r="BZ79" s="73">
        <f t="shared" si="610"/>
        <v>0.49404466501240701</v>
      </c>
      <c r="CA79" s="73">
        <f t="shared" si="611"/>
        <v>0.15050467885017732</v>
      </c>
      <c r="CB79" s="73">
        <f t="shared" si="612"/>
        <v>5.8760498428296587E-2</v>
      </c>
      <c r="CC79" s="73">
        <f t="shared" si="613"/>
        <v>2.2225389240677101E-2</v>
      </c>
      <c r="CD79" s="73">
        <f t="shared" si="614"/>
        <v>1.3158760444766102E-4</v>
      </c>
      <c r="CE79" s="73">
        <f t="shared" si="615"/>
        <v>5.6361843032267161E-3</v>
      </c>
      <c r="CF79" s="73">
        <f t="shared" si="616"/>
        <v>1.8542650519005945</v>
      </c>
      <c r="CG79" s="73">
        <f t="shared" si="617"/>
        <v>0.40100801132892661</v>
      </c>
      <c r="CH79" s="73">
        <f t="shared" si="618"/>
        <v>1.6761487071807274E-2</v>
      </c>
      <c r="CI79" s="73">
        <f t="shared" si="619"/>
        <v>9.6866470953432648E-2</v>
      </c>
      <c r="CJ79" s="73">
        <f t="shared" si="620"/>
        <v>8.9993706969163367E-2</v>
      </c>
      <c r="CK79" s="73">
        <f t="shared" si="621"/>
        <v>9.8064206688220495E-4</v>
      </c>
      <c r="CL79" s="73">
        <f t="shared" si="622"/>
        <v>0.26643691769200872</v>
      </c>
      <c r="CM79" s="73">
        <f t="shared" si="623"/>
        <v>8.1166755904670818E-2</v>
      </c>
      <c r="CN79" s="73">
        <f t="shared" si="624"/>
        <v>3.1689373840092565E-2</v>
      </c>
      <c r="CO79" s="73">
        <f t="shared" si="625"/>
        <v>1.1986090779145302E-2</v>
      </c>
      <c r="CP79" s="73">
        <f t="shared" si="626"/>
        <v>7.0964830142694895E-5</v>
      </c>
      <c r="CQ79" s="73">
        <f t="shared" si="627"/>
        <v>3.0395785637278281E-3</v>
      </c>
      <c r="CR79" s="73"/>
      <c r="CS79" s="73">
        <f t="shared" ca="1" si="628"/>
        <v>0.68596053881944752</v>
      </c>
      <c r="CT79" s="73">
        <f t="shared" ca="1" si="629"/>
        <v>0.1109055910897027</v>
      </c>
      <c r="CU79" s="73">
        <f t="shared" ca="1" si="630"/>
        <v>1.2610154865491925</v>
      </c>
      <c r="CV79" s="73">
        <f t="shared" ca="1" si="631"/>
        <v>2.0578816164583427</v>
      </c>
      <c r="CW79" s="73">
        <f t="shared" ca="1" si="632"/>
        <v>0.33333333333333331</v>
      </c>
      <c r="CX79" s="73">
        <f t="shared" ca="1" si="633"/>
        <v>5.3893086075851894E-2</v>
      </c>
      <c r="CY79" s="73">
        <f t="shared" ca="1" si="634"/>
        <v>0.61277358059081477</v>
      </c>
      <c r="CZ79" s="73">
        <f t="shared" si="635"/>
        <v>0.43857802263272511</v>
      </c>
      <c r="DA79" s="73">
        <f t="shared" si="636"/>
        <v>0.40100801132892661</v>
      </c>
      <c r="DB79" s="73">
        <f t="shared" si="637"/>
        <v>-0.47492187677154646</v>
      </c>
      <c r="DC79" s="73"/>
      <c r="DD79" s="73">
        <f t="shared" ca="1" si="638"/>
        <v>1665.661709794183</v>
      </c>
      <c r="DE79" s="73">
        <f t="shared" ca="1" si="639"/>
        <v>15313.31874690412</v>
      </c>
      <c r="DF79" s="73">
        <f t="shared" si="640"/>
        <v>7.8983011447407261</v>
      </c>
      <c r="DG79" s="73">
        <f t="shared" si="641"/>
        <v>1722.2571731187948</v>
      </c>
      <c r="DH79" s="73">
        <f t="shared" si="642"/>
        <v>1449.1071731187949</v>
      </c>
      <c r="DI79" s="73">
        <f t="shared" si="449"/>
        <v>13602.905801982104</v>
      </c>
      <c r="DJ79" s="73">
        <f t="shared" si="643"/>
        <v>7.8983011447407261</v>
      </c>
      <c r="DK79" s="73">
        <f t="shared" si="644"/>
        <v>1722.2571731187948</v>
      </c>
      <c r="DL79" s="73">
        <f t="shared" ca="1" si="645"/>
        <v>3.460211286924479</v>
      </c>
      <c r="DM79" s="73">
        <f t="shared" si="646"/>
        <v>-0.47492187677154646</v>
      </c>
      <c r="DN79" s="73">
        <f t="shared" si="647"/>
        <v>0.43857802263272511</v>
      </c>
      <c r="DO79" s="73">
        <f t="shared" si="648"/>
        <v>0.40100801132892661</v>
      </c>
      <c r="DP79" s="73">
        <f t="shared" si="649"/>
        <v>2.2602875718512858</v>
      </c>
      <c r="DQ79" s="73">
        <f t="shared" ca="1" si="650"/>
        <v>15313.382439126764</v>
      </c>
      <c r="DR79" s="73">
        <f t="shared" si="651"/>
        <v>7.8980779175685907</v>
      </c>
      <c r="DS79" s="73">
        <f t="shared" ca="1" si="652"/>
        <v>1665.7245716300763</v>
      </c>
      <c r="DT79" s="73">
        <f t="shared" si="653"/>
        <v>1449.1740352872675</v>
      </c>
      <c r="DU79" s="73">
        <f t="shared" ca="1" si="654"/>
        <v>1612.0793204808704</v>
      </c>
      <c r="DV79" s="76">
        <f t="shared" ca="1" si="655"/>
        <v>2.2998824108119975</v>
      </c>
      <c r="DW79" s="73">
        <f t="shared" ca="1" si="656"/>
        <v>2.8441698376863269</v>
      </c>
      <c r="DX79" s="73">
        <f t="shared" ca="1" si="657"/>
        <v>4620.6230397966692</v>
      </c>
      <c r="DY79" s="73">
        <f t="shared" ca="1" si="658"/>
        <v>1624.5946281307342</v>
      </c>
      <c r="DZ79" s="73">
        <f t="shared" ca="1" si="659"/>
        <v>3.6318600686530118</v>
      </c>
      <c r="EA79" s="73"/>
      <c r="EB79" s="73">
        <f t="shared" si="660"/>
        <v>0.74357514093938626</v>
      </c>
      <c r="EC79" s="73">
        <f t="shared" si="661"/>
        <v>3.1080239695135858E-2</v>
      </c>
      <c r="ED79" s="73">
        <f t="shared" si="662"/>
        <v>8.9808055894947114E-2</v>
      </c>
      <c r="EE79" s="73">
        <f t="shared" si="663"/>
        <v>0.16687218572390261</v>
      </c>
      <c r="EF79" s="73">
        <f t="shared" si="664"/>
        <v>1.8183703130432382E-3</v>
      </c>
      <c r="EG79" s="73">
        <f t="shared" si="665"/>
        <v>0.49404466501240701</v>
      </c>
      <c r="EH79" s="73">
        <f t="shared" si="666"/>
        <v>0.15050467885017732</v>
      </c>
      <c r="EI79" s="73">
        <f t="shared" si="667"/>
        <v>2.9380249214148293E-2</v>
      </c>
      <c r="EJ79" s="73">
        <f t="shared" si="668"/>
        <v>1.1112694620338551E-2</v>
      </c>
      <c r="EK79" s="73">
        <f t="shared" si="669"/>
        <v>6.5793802223830508E-5</v>
      </c>
      <c r="EL79" s="73">
        <f t="shared" si="670"/>
        <v>2.8180921516133581E-3</v>
      </c>
      <c r="EM79" s="73">
        <f t="shared" si="671"/>
        <v>1.7210801662173238</v>
      </c>
      <c r="EN79" s="73">
        <f t="shared" si="672"/>
        <v>0.43203980589332625</v>
      </c>
      <c r="EO79" s="73">
        <f t="shared" si="673"/>
        <v>1.8058565954801261E-2</v>
      </c>
      <c r="EP79" s="73">
        <f t="shared" si="674"/>
        <v>5.2181215993170008E-2</v>
      </c>
      <c r="EQ79" s="73">
        <f t="shared" si="675"/>
        <v>9.6957822767002572E-2</v>
      </c>
      <c r="ER79" s="73">
        <f t="shared" si="676"/>
        <v>1.0565285387256211E-3</v>
      </c>
      <c r="ES79" s="73">
        <f t="shared" si="677"/>
        <v>0.28705499877919288</v>
      </c>
      <c r="ET79" s="73">
        <f t="shared" si="678"/>
        <v>8.7447802725519774E-2</v>
      </c>
      <c r="EU79" s="73">
        <f t="shared" si="679"/>
        <v>1.7070819704303301E-2</v>
      </c>
      <c r="EV79" s="73">
        <f t="shared" si="680"/>
        <v>6.4568140627421135E-3</v>
      </c>
      <c r="EW79" s="73">
        <f t="shared" si="681"/>
        <v>3.8228203145490556E-5</v>
      </c>
      <c r="EX79" s="73">
        <f t="shared" si="682"/>
        <v>1.6373973780704836E-3</v>
      </c>
      <c r="EY79" s="73">
        <f t="shared" si="683"/>
        <v>0.99999999999999989</v>
      </c>
      <c r="EZ79" s="73">
        <f t="shared" si="684"/>
        <v>9.6866470953432648E-2</v>
      </c>
      <c r="FA79" s="73">
        <f t="shared" si="685"/>
        <v>0.51463596935416644</v>
      </c>
      <c r="FB79" s="73">
        <f t="shared" si="686"/>
        <v>1.4489598518284945</v>
      </c>
      <c r="FC79" s="73">
        <f t="shared" si="687"/>
        <v>0.83937582624032325</v>
      </c>
      <c r="FD79" s="73">
        <f t="shared" si="688"/>
        <v>1.6310088610667526</v>
      </c>
      <c r="FE79" s="73">
        <f t="shared" ca="1" si="689"/>
        <v>0.16513393700760698</v>
      </c>
      <c r="FF79" s="73">
        <f t="shared" ca="1" si="690"/>
        <v>1.2035942015854326E-2</v>
      </c>
      <c r="FG79" s="73">
        <f t="shared" ca="1" si="691"/>
        <v>7.288593873529392E-2</v>
      </c>
      <c r="FH79" s="73">
        <f t="shared" ca="1" si="692"/>
        <v>0.25390931718753629</v>
      </c>
      <c r="FI79" s="73">
        <f t="shared" ca="1" si="693"/>
        <v>8.7949428276411779E-2</v>
      </c>
      <c r="FJ79" s="73">
        <f t="shared" ca="1" si="694"/>
        <v>0.34638125631070371</v>
      </c>
      <c r="FK79" s="73">
        <f t="shared" ca="1" si="695"/>
        <v>8.7949428276411779E-2</v>
      </c>
      <c r="FL79" s="73">
        <f t="shared" ca="1" si="696"/>
        <v>8.7949428276411806E-2</v>
      </c>
      <c r="FM79" s="73"/>
      <c r="FN79" s="73"/>
      <c r="FO79" s="73"/>
      <c r="FP79" s="73">
        <f t="shared" ca="1" si="697"/>
        <v>1.8383207417724443</v>
      </c>
      <c r="FQ79" s="73">
        <f t="shared" ca="1" si="698"/>
        <v>0.16167925822755569</v>
      </c>
      <c r="FR79" s="73">
        <f t="shared" si="479"/>
        <v>0.33333333333333331</v>
      </c>
      <c r="FS79" s="73">
        <f t="shared" ca="1" si="699"/>
        <v>5.3893086075851894E-2</v>
      </c>
      <c r="FT79" s="73">
        <f t="shared" ca="1" si="700"/>
        <v>0.61277358059081477</v>
      </c>
      <c r="FU79" s="73">
        <f t="shared" si="701"/>
        <v>20.026666666666664</v>
      </c>
      <c r="FV79" s="73">
        <f t="shared" ca="1" si="702"/>
        <v>3.8722182345499583</v>
      </c>
      <c r="FW79" s="73">
        <f t="shared" ca="1" si="703"/>
        <v>24.694775297809834</v>
      </c>
      <c r="FX79" s="73">
        <f t="shared" ca="1" si="704"/>
        <v>48.593660199026459</v>
      </c>
      <c r="FY79" s="73">
        <f t="shared" ca="1" si="705"/>
        <v>41.212509172272405</v>
      </c>
      <c r="FZ79" s="73">
        <f t="shared" ca="1" si="706"/>
        <v>7.9685667197951382</v>
      </c>
      <c r="GA79" s="73">
        <f t="shared" ca="1" si="707"/>
        <v>50.818924107932453</v>
      </c>
      <c r="GB79" s="73">
        <f t="shared" ca="1" si="708"/>
        <v>91.916037088622204</v>
      </c>
      <c r="GC79" s="73">
        <f t="shared" ca="1" si="709"/>
        <v>3460211286.924479</v>
      </c>
      <c r="GD79" s="2">
        <f t="shared" si="743"/>
        <v>38</v>
      </c>
      <c r="GE79">
        <f t="shared" ca="1" si="710"/>
        <v>1518.9721596285667</v>
      </c>
      <c r="GF79">
        <f t="shared" ca="1" si="711"/>
        <v>1518.7515708178489</v>
      </c>
      <c r="GG79">
        <f t="shared" ca="1" si="712"/>
        <v>1848.3705823286869</v>
      </c>
      <c r="GH79" s="2">
        <f t="shared" ca="1" si="713"/>
        <v>0.42823117346356643</v>
      </c>
      <c r="GI79" s="2">
        <f t="shared" ca="1" si="714"/>
        <v>1.1500161913488072</v>
      </c>
      <c r="GJ79" s="2">
        <f t="shared" ca="1" si="715"/>
        <v>-1.4947591438791983</v>
      </c>
      <c r="GK79" s="2">
        <f t="shared" ca="1" si="716"/>
        <v>1.3502827412434659</v>
      </c>
      <c r="GL79" s="2">
        <f t="shared" ca="1" si="717"/>
        <v>-0.42823117346356643</v>
      </c>
      <c r="GM79">
        <f t="shared" ca="1" si="718"/>
        <v>0.36899904941456557</v>
      </c>
      <c r="GN79">
        <f t="shared" ca="1" si="719"/>
        <v>5.0243020703010295E-2</v>
      </c>
      <c r="GO79">
        <f t="shared" ca="1" si="720"/>
        <v>-0.1571355644478887</v>
      </c>
      <c r="GP79">
        <f t="shared" ca="1" si="721"/>
        <v>-0.15857092754855601</v>
      </c>
      <c r="GQ79">
        <f t="shared" ca="1" si="722"/>
        <v>0.28389515672590793</v>
      </c>
      <c r="GR79">
        <f t="shared" ca="1" si="723"/>
        <v>0.136160298468853</v>
      </c>
      <c r="GS79">
        <f t="shared" ca="1" si="724"/>
        <v>5.1678383803677591E-2</v>
      </c>
      <c r="GT79">
        <f t="shared" ca="1" si="725"/>
        <v>3.224400200411961E-3</v>
      </c>
      <c r="GU79">
        <f t="shared" ca="1" si="726"/>
        <v>0.50456833213381103</v>
      </c>
      <c r="GV79">
        <f t="shared" ca="1" si="727"/>
        <v>-0.29279455100221358</v>
      </c>
      <c r="GW79">
        <f t="shared" ca="1" si="728"/>
        <v>0.58077283054616302</v>
      </c>
      <c r="GY79" s="15">
        <f t="shared" si="729"/>
        <v>0.21284337704613498</v>
      </c>
      <c r="GZ79" s="2">
        <f t="shared" si="730"/>
        <v>7.027801015111676E-2</v>
      </c>
      <c r="HA79" s="2">
        <f t="shared" si="731"/>
        <v>3.1011245551518393E-2</v>
      </c>
      <c r="HB79" s="2">
        <f t="shared" si="732"/>
        <v>0.31413263274877018</v>
      </c>
      <c r="HC79" s="2">
        <f t="shared" si="733"/>
        <v>0.6775589507644626</v>
      </c>
      <c r="HD79" s="2">
        <f t="shared" si="734"/>
        <v>0.22372081988477174</v>
      </c>
      <c r="HE79" s="2">
        <f t="shared" si="735"/>
        <v>9.8720229350765534E-2</v>
      </c>
      <c r="HF79" s="2">
        <f t="shared" si="736"/>
        <v>-1.356564403458667</v>
      </c>
      <c r="HG79" s="2">
        <f t="shared" si="737"/>
        <v>-1.357554084807894</v>
      </c>
      <c r="HH79" s="2">
        <f t="shared" si="738"/>
        <v>-1.3570592441332805</v>
      </c>
      <c r="HI79" s="2">
        <f t="shared" si="739"/>
        <v>1.6886576279457992</v>
      </c>
      <c r="HJ79" s="2">
        <f t="shared" si="740"/>
        <v>0.27014205287101251</v>
      </c>
      <c r="HK79" s="2">
        <f t="shared" si="741"/>
        <v>0.34426232090111175</v>
      </c>
      <c r="HL79" s="2">
        <f t="shared" si="742"/>
        <v>0.66890376642386762</v>
      </c>
    </row>
  </sheetData>
  <sortState ref="A28:GB393">
    <sortCondition ref="B28:B393"/>
  </sortState>
  <pageMargins left="0.75" right="0.75" top="1" bottom="1" header="0.5" footer="0.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40"/>
  <sheetViews>
    <sheetView topLeftCell="AP28" workbookViewId="0">
      <selection activeCell="AS8" sqref="AS8:AS40"/>
    </sheetView>
  </sheetViews>
  <sheetFormatPr defaultColWidth="11.5546875" defaultRowHeight="15"/>
  <cols>
    <col min="1" max="1" width="20.88671875" customWidth="1"/>
    <col min="3" max="3" width="15.44140625" customWidth="1"/>
    <col min="4" max="4" width="15.5546875" customWidth="1"/>
    <col min="5" max="5" width="13.109375" customWidth="1"/>
    <col min="19" max="20" width="19.6640625" customWidth="1"/>
    <col min="22" max="23" width="19.6640625" customWidth="1"/>
    <col min="26" max="26" width="19.44140625" customWidth="1"/>
    <col min="27" max="28" width="18.5546875" customWidth="1"/>
    <col min="29" max="30" width="12.6640625" customWidth="1"/>
    <col min="31" max="31" width="13.44140625" style="77" customWidth="1"/>
    <col min="32" max="32" width="14.44140625" style="77" customWidth="1"/>
    <col min="33" max="33" width="9" style="77" customWidth="1"/>
    <col min="34" max="34" width="12.109375" style="77" customWidth="1"/>
    <col min="37" max="38" width="10.6640625" style="77"/>
    <col min="39" max="39" width="13.88671875" style="77" customWidth="1"/>
    <col min="40" max="40" width="12.44140625" style="77" customWidth="1"/>
    <col min="43" max="43" width="15.44140625" customWidth="1"/>
    <col min="44" max="44" width="6.33203125" customWidth="1"/>
    <col min="48" max="48" width="18" customWidth="1"/>
    <col min="50" max="50" width="16.109375" customWidth="1"/>
    <col min="51" max="51" width="16" customWidth="1"/>
    <col min="52" max="52" width="23.5546875" customWidth="1"/>
    <col min="53" max="53" width="2.5546875" style="17" customWidth="1"/>
    <col min="54" max="55" width="6.88671875" style="17" customWidth="1"/>
    <col min="56" max="56" width="15.44140625" customWidth="1"/>
    <col min="57" max="57" width="19" customWidth="1"/>
    <col min="58" max="58" width="18.5546875" customWidth="1"/>
    <col min="59" max="59" width="1.88671875" customWidth="1"/>
    <col min="60" max="60" width="15.5546875" customWidth="1"/>
    <col min="61" max="61" width="17.33203125" customWidth="1"/>
    <col min="62" max="62" width="2" customWidth="1"/>
    <col min="63" max="63" width="22.88671875" customWidth="1"/>
    <col min="64" max="64" width="23.33203125" customWidth="1"/>
    <col min="65" max="71" width="11" customWidth="1"/>
    <col min="72" max="72" width="3.109375" customWidth="1"/>
    <col min="131" max="131" width="2" customWidth="1"/>
    <col min="161" max="164" width="10.6640625" style="17"/>
    <col min="167" max="167" width="14.44140625" customWidth="1"/>
    <col min="171" max="171" width="13.5546875" customWidth="1"/>
  </cols>
  <sheetData>
    <row r="1" spans="1:220" ht="31.5" thickBot="1">
      <c r="A1" s="204" t="s">
        <v>239</v>
      </c>
      <c r="AC1" s="274" t="s">
        <v>300</v>
      </c>
      <c r="AD1" s="275">
        <v>5.0599999999999996</v>
      </c>
      <c r="AE1" s="276" t="s">
        <v>303</v>
      </c>
      <c r="GD1">
        <v>38</v>
      </c>
      <c r="GE1">
        <v>1445.8421128640359</v>
      </c>
      <c r="GF1">
        <v>1411.241436872715</v>
      </c>
      <c r="GG1">
        <v>1792.8555974108031</v>
      </c>
      <c r="GH1">
        <v>0.39130992888293992</v>
      </c>
      <c r="GI1">
        <v>1.4655148408757355</v>
      </c>
      <c r="GJ1">
        <v>-2.0923261224533807</v>
      </c>
      <c r="GK1">
        <v>1.6333957678057098</v>
      </c>
      <c r="GL1">
        <v>-0.39130992888293992</v>
      </c>
      <c r="GM1">
        <v>0.42698900937813211</v>
      </c>
      <c r="GN1">
        <v>7.7848471427451854E-2</v>
      </c>
      <c r="GO1">
        <v>-0.19155147284822469</v>
      </c>
      <c r="GP1">
        <v>-0.11978417496716745</v>
      </c>
      <c r="GQ1">
        <v>0.29907322927304503</v>
      </c>
      <c r="GR1">
        <v>0.18231961412971862</v>
      </c>
      <c r="GS1">
        <v>6.0811735463946193E-3</v>
      </c>
      <c r="GT1">
        <v>1.5915160057637272E-3</v>
      </c>
      <c r="GU1">
        <v>0.35943277424256476</v>
      </c>
      <c r="GV1">
        <v>-0.32482740448297226</v>
      </c>
      <c r="GW1">
        <v>0.46159437913772461</v>
      </c>
      <c r="GY1">
        <v>0.17806238409467331</v>
      </c>
      <c r="GZ1">
        <v>6.8626980231002624E-2</v>
      </c>
      <c r="HA1">
        <v>6.0011553512906976E-2</v>
      </c>
      <c r="HB1">
        <v>0.30670091783858294</v>
      </c>
      <c r="HC1">
        <v>0.58057336557560535</v>
      </c>
      <c r="HD1">
        <v>0.22375863989791217</v>
      </c>
      <c r="HE1">
        <v>0.1956679945264824</v>
      </c>
      <c r="HF1">
        <v>-1.3442084002433676</v>
      </c>
      <c r="HG1">
        <v>-1.3381346807651098</v>
      </c>
      <c r="HH1">
        <v>-1.3411715405042388</v>
      </c>
      <c r="HI1">
        <v>2.3370555955311452</v>
      </c>
      <c r="HJ1">
        <v>0.19348986199751073</v>
      </c>
      <c r="HK1">
        <v>0.34302401047420095</v>
      </c>
      <c r="HL1">
        <v>0.7542339659698819</v>
      </c>
    </row>
    <row r="2" spans="1:220" ht="24" thickBot="1">
      <c r="A2" s="243" t="s">
        <v>238</v>
      </c>
      <c r="D2" s="132" t="s">
        <v>129</v>
      </c>
      <c r="E2" s="133"/>
      <c r="F2" s="133"/>
      <c r="G2" s="134"/>
      <c r="AC2" s="277" t="s">
        <v>244</v>
      </c>
      <c r="AD2" s="278">
        <f>3.3*10^-5</f>
        <v>3.3000000000000003E-5</v>
      </c>
      <c r="AE2" s="279" t="s">
        <v>304</v>
      </c>
      <c r="BK2" s="263" t="s">
        <v>291</v>
      </c>
      <c r="BL2" s="77"/>
      <c r="BM2" s="77"/>
      <c r="BN2" s="77"/>
      <c r="BO2" s="77"/>
      <c r="BP2" s="77"/>
      <c r="GD2">
        <f>GD8-GD1</f>
        <v>0</v>
      </c>
      <c r="GE2">
        <f t="shared" ref="GE2:HL2" si="0">GE8-GE1</f>
        <v>27.251344535963881</v>
      </c>
      <c r="GF2">
        <f t="shared" si="0"/>
        <v>61.522563127285139</v>
      </c>
      <c r="GG2">
        <f t="shared" si="0"/>
        <v>31.933402589197158</v>
      </c>
      <c r="GH2">
        <f t="shared" si="0"/>
        <v>-0.13649936246204991</v>
      </c>
      <c r="GI2">
        <f t="shared" si="0"/>
        <v>-0.17651484087573555</v>
      </c>
      <c r="GJ2">
        <f t="shared" si="0"/>
        <v>0.33432612245338023</v>
      </c>
      <c r="GK2">
        <f t="shared" si="0"/>
        <v>-0.15839576780571019</v>
      </c>
      <c r="GL2">
        <f t="shared" si="0"/>
        <v>0.13649936246204991</v>
      </c>
      <c r="GM2">
        <f t="shared" si="0"/>
        <v>-2.9700873784911597E-2</v>
      </c>
      <c r="GN2">
        <f t="shared" si="0"/>
        <v>-1.5141361236049519E-2</v>
      </c>
      <c r="GO2">
        <f t="shared" si="0"/>
        <v>1.7956758685627627E-2</v>
      </c>
      <c r="GP2">
        <f t="shared" si="0"/>
        <v>3.340771177364539E-2</v>
      </c>
      <c r="GQ2">
        <f t="shared" si="0"/>
        <v>-7.7737942447964059E-3</v>
      </c>
      <c r="GR2">
        <f t="shared" si="0"/>
        <v>-2.4481751446581435E-2</v>
      </c>
      <c r="GS2">
        <f t="shared" si="0"/>
        <v>-3.0592314324067282E-2</v>
      </c>
      <c r="GT2">
        <f t="shared" si="0"/>
        <v>7.8570035877472094E-4</v>
      </c>
      <c r="GU2">
        <f t="shared" si="0"/>
        <v>-4.8502418587983487E-2</v>
      </c>
      <c r="GV2">
        <f t="shared" si="0"/>
        <v>-0.10440560515400443</v>
      </c>
      <c r="GW2">
        <f t="shared" si="0"/>
        <v>-0.18260889752689952</v>
      </c>
      <c r="GX2">
        <f t="shared" si="0"/>
        <v>0</v>
      </c>
      <c r="GY2">
        <f t="shared" si="0"/>
        <v>0</v>
      </c>
      <c r="GZ2">
        <f t="shared" si="0"/>
        <v>0</v>
      </c>
      <c r="HA2">
        <f t="shared" si="0"/>
        <v>0</v>
      </c>
      <c r="HB2">
        <f t="shared" si="0"/>
        <v>0</v>
      </c>
      <c r="HC2">
        <f t="shared" si="0"/>
        <v>0</v>
      </c>
      <c r="HD2">
        <f t="shared" si="0"/>
        <v>0</v>
      </c>
      <c r="HE2">
        <f t="shared" si="0"/>
        <v>0</v>
      </c>
      <c r="HF2">
        <f t="shared" si="0"/>
        <v>0</v>
      </c>
      <c r="HG2">
        <f t="shared" si="0"/>
        <v>0</v>
      </c>
      <c r="HH2">
        <f t="shared" si="0"/>
        <v>0</v>
      </c>
      <c r="HI2">
        <f t="shared" si="0"/>
        <v>0</v>
      </c>
      <c r="HJ2">
        <f t="shared" si="0"/>
        <v>0</v>
      </c>
      <c r="HK2">
        <f t="shared" si="0"/>
        <v>0</v>
      </c>
      <c r="HL2">
        <f t="shared" si="0"/>
        <v>0</v>
      </c>
    </row>
    <row r="3" spans="1:220" s="2" customFormat="1" ht="21" thickTop="1" thickBot="1">
      <c r="A3" s="244" t="s">
        <v>237</v>
      </c>
      <c r="B3" s="1"/>
      <c r="C3" s="5"/>
      <c r="D3" s="6" t="s">
        <v>1</v>
      </c>
      <c r="E3" s="6" t="s">
        <v>2</v>
      </c>
      <c r="F3"/>
      <c r="G3"/>
      <c r="H3"/>
      <c r="I3"/>
      <c r="J3"/>
      <c r="K3"/>
      <c r="L3"/>
      <c r="M3"/>
      <c r="N3"/>
      <c r="O3"/>
      <c r="S3" s="126" t="s">
        <v>0</v>
      </c>
      <c r="T3" s="124"/>
      <c r="U3"/>
      <c r="V3"/>
      <c r="W3"/>
      <c r="X3"/>
      <c r="Y3"/>
      <c r="Z3"/>
      <c r="AA3"/>
      <c r="AB3"/>
      <c r="AC3"/>
      <c r="AD3"/>
      <c r="AE3" s="4"/>
      <c r="AF3" s="4"/>
      <c r="AG3" s="4"/>
      <c r="AH3" s="4"/>
      <c r="AI3" s="6"/>
      <c r="AJ3" s="6"/>
      <c r="AK3" s="6"/>
      <c r="AL3" s="6"/>
      <c r="AM3" s="6"/>
      <c r="AN3" s="6"/>
      <c r="AO3" s="108" t="s">
        <v>138</v>
      </c>
      <c r="AP3" s="121"/>
      <c r="AQ3" s="122"/>
      <c r="AS3" s="4"/>
      <c r="AT3" s="4"/>
      <c r="AU3" s="4"/>
      <c r="AV3" s="4"/>
      <c r="AW3" s="4"/>
      <c r="AX3" s="4"/>
      <c r="AY3" s="4"/>
      <c r="AZ3" s="4"/>
      <c r="BA3" s="4"/>
      <c r="BB3" s="4"/>
      <c r="BC3" s="4"/>
      <c r="BD3" s="4"/>
      <c r="BE3" s="4"/>
      <c r="BF3" s="4"/>
      <c r="BG3"/>
      <c r="BH3" s="4"/>
      <c r="BI3" s="4"/>
      <c r="BJ3"/>
      <c r="BK3" s="47" t="s">
        <v>268</v>
      </c>
      <c r="BL3" s="47" t="s">
        <v>286</v>
      </c>
      <c r="BM3" s="4"/>
      <c r="BN3" s="4"/>
      <c r="BO3" s="4"/>
      <c r="BP3" s="4"/>
      <c r="BQ3"/>
      <c r="BR3"/>
      <c r="BS3"/>
      <c r="BT3"/>
      <c r="DC3" s="8"/>
      <c r="DD3" s="8"/>
      <c r="DH3" s="8"/>
      <c r="DI3" s="9"/>
      <c r="DL3" s="8"/>
      <c r="FD3"/>
      <c r="FE3"/>
      <c r="FF3"/>
      <c r="FG3"/>
      <c r="FH3"/>
      <c r="FI3"/>
    </row>
    <row r="4" spans="1:220" s="2" customFormat="1" ht="20.25" thickBot="1">
      <c r="A4" s="1"/>
      <c r="B4" s="1"/>
      <c r="C4" s="114" t="s">
        <v>136</v>
      </c>
      <c r="D4" s="55">
        <v>0</v>
      </c>
      <c r="E4" s="56">
        <v>0</v>
      </c>
      <c r="F4"/>
      <c r="G4"/>
      <c r="H4"/>
      <c r="I4"/>
      <c r="J4"/>
      <c r="K4"/>
      <c r="L4"/>
      <c r="M4"/>
      <c r="N4"/>
      <c r="O4"/>
      <c r="S4" s="127" t="s">
        <v>133</v>
      </c>
      <c r="T4" s="124"/>
      <c r="U4"/>
      <c r="V4"/>
      <c r="W4"/>
      <c r="X4"/>
      <c r="Y4"/>
      <c r="Z4"/>
      <c r="AA4"/>
      <c r="AB4"/>
      <c r="AC4"/>
      <c r="AD4"/>
      <c r="AE4" s="4"/>
      <c r="AF4" s="4"/>
      <c r="AG4" s="4"/>
      <c r="AH4" s="4"/>
      <c r="AI4" s="10"/>
      <c r="AK4" s="6"/>
      <c r="AL4" s="6"/>
      <c r="AM4" s="6"/>
      <c r="AN4" s="6"/>
      <c r="AO4" s="2" t="s">
        <v>139</v>
      </c>
      <c r="AS4" s="11"/>
      <c r="AT4" s="4"/>
      <c r="AU4" s="4"/>
      <c r="AV4" s="12"/>
      <c r="AW4" s="4"/>
      <c r="AX4" s="4"/>
      <c r="AY4" s="12"/>
      <c r="AZ4" s="4"/>
      <c r="BA4" s="4"/>
      <c r="BB4" s="48"/>
      <c r="BC4" s="48"/>
      <c r="BD4" s="48" t="s">
        <v>108</v>
      </c>
      <c r="BE4" s="47"/>
      <c r="BF4" s="47"/>
      <c r="BG4"/>
      <c r="BH4" s="47"/>
      <c r="BI4" s="47"/>
      <c r="BJ4"/>
      <c r="BK4" s="47" t="s">
        <v>269</v>
      </c>
      <c r="BL4" s="47" t="s">
        <v>269</v>
      </c>
      <c r="BM4" s="4"/>
      <c r="BN4" s="4"/>
      <c r="BO4" s="4"/>
      <c r="BP4" s="4"/>
      <c r="BQ4"/>
      <c r="BR4"/>
      <c r="BS4"/>
      <c r="BT4"/>
      <c r="DC4" s="8"/>
      <c r="DD4" s="8"/>
      <c r="DH4" s="8"/>
      <c r="DI4" s="9"/>
      <c r="FD4"/>
      <c r="FE4"/>
      <c r="FF4"/>
      <c r="FG4"/>
      <c r="FH4"/>
      <c r="FI4"/>
      <c r="FP4" s="13" t="s">
        <v>3</v>
      </c>
    </row>
    <row r="5" spans="1:220" s="15" customFormat="1" ht="21.75" thickTop="1" thickBot="1">
      <c r="A5" s="14"/>
      <c r="B5" s="8"/>
      <c r="C5" s="114" t="s">
        <v>137</v>
      </c>
      <c r="D5" s="17" t="s">
        <v>131</v>
      </c>
      <c r="E5" s="16"/>
      <c r="F5" s="129" t="s">
        <v>135</v>
      </c>
      <c r="G5" s="130"/>
      <c r="H5" s="130"/>
      <c r="I5" s="131"/>
      <c r="S5" s="128" t="s">
        <v>134</v>
      </c>
      <c r="T5" s="124"/>
      <c r="U5" s="115" t="s">
        <v>130</v>
      </c>
      <c r="V5" s="120" t="s">
        <v>130</v>
      </c>
      <c r="W5" s="120" t="s">
        <v>130</v>
      </c>
      <c r="X5" s="16" t="s">
        <v>7</v>
      </c>
      <c r="Y5" s="16" t="s">
        <v>8</v>
      </c>
      <c r="Z5" s="268" t="s">
        <v>296</v>
      </c>
      <c r="AA5" s="268" t="s">
        <v>295</v>
      </c>
      <c r="AB5"/>
      <c r="AC5"/>
      <c r="AD5"/>
      <c r="AE5" s="4"/>
      <c r="AF5" s="4"/>
      <c r="AG5" s="4"/>
      <c r="AH5" s="4"/>
      <c r="AI5" s="18"/>
      <c r="AJ5" s="18"/>
      <c r="AK5" s="78" t="s">
        <v>4</v>
      </c>
      <c r="AL5" s="78" t="s">
        <v>5</v>
      </c>
      <c r="AM5" s="78" t="s">
        <v>6</v>
      </c>
      <c r="AN5" s="78" t="s">
        <v>5</v>
      </c>
      <c r="AS5" s="41"/>
      <c r="AT5" s="35" t="s">
        <v>4</v>
      </c>
      <c r="AU5" s="35"/>
      <c r="AV5" s="35" t="s">
        <v>9</v>
      </c>
      <c r="AW5" s="36"/>
      <c r="AX5" s="36"/>
      <c r="AY5" s="35" t="s">
        <v>9</v>
      </c>
      <c r="AZ5" s="42" t="s">
        <v>10</v>
      </c>
      <c r="BA5" s="46"/>
      <c r="BB5" s="47"/>
      <c r="BC5" s="47"/>
      <c r="BD5" s="64" t="s">
        <v>110</v>
      </c>
      <c r="BE5" s="64"/>
      <c r="BF5" s="64"/>
      <c r="BG5"/>
      <c r="BH5" s="64" t="s">
        <v>10</v>
      </c>
      <c r="BI5" s="64"/>
      <c r="BJ5"/>
      <c r="BK5" s="259">
        <v>38</v>
      </c>
      <c r="BL5" s="259">
        <v>8.02</v>
      </c>
      <c r="BM5" s="78"/>
      <c r="BN5" s="78"/>
      <c r="BO5" s="78"/>
      <c r="BP5" s="78"/>
      <c r="BQ5"/>
      <c r="BR5"/>
      <c r="BS5"/>
      <c r="BT5"/>
      <c r="CZ5" s="15" t="s">
        <v>11</v>
      </c>
      <c r="DI5" s="19"/>
    </row>
    <row r="6" spans="1:220" s="15" customFormat="1" ht="21" thickTop="1" thickBot="1">
      <c r="A6" s="20"/>
      <c r="B6" s="20"/>
      <c r="C6" s="246" t="s">
        <v>123</v>
      </c>
      <c r="D6" s="245" t="s">
        <v>106</v>
      </c>
      <c r="E6" s="245" t="s">
        <v>12</v>
      </c>
      <c r="F6" s="23" t="s">
        <v>132</v>
      </c>
      <c r="G6" s="24"/>
      <c r="H6" s="24"/>
      <c r="I6" s="24"/>
      <c r="J6" s="24"/>
      <c r="K6" s="24"/>
      <c r="L6" s="24"/>
      <c r="M6" s="24"/>
      <c r="N6" s="24"/>
      <c r="O6" s="24"/>
      <c r="P6" s="24"/>
      <c r="Q6" s="24"/>
      <c r="R6" s="19" t="s">
        <v>15</v>
      </c>
      <c r="S6" s="248"/>
      <c r="T6" s="125"/>
      <c r="U6" s="116" t="s">
        <v>121</v>
      </c>
      <c r="V6" s="117" t="s">
        <v>122</v>
      </c>
      <c r="W6" s="117" t="s">
        <v>305</v>
      </c>
      <c r="X6" s="15" t="s">
        <v>14</v>
      </c>
      <c r="Y6" s="15" t="s">
        <v>14</v>
      </c>
      <c r="Z6" s="257" t="s">
        <v>14</v>
      </c>
      <c r="AA6" s="257" t="s">
        <v>14</v>
      </c>
      <c r="AB6"/>
      <c r="AC6" s="280" t="s">
        <v>301</v>
      </c>
      <c r="AD6" s="280" t="s">
        <v>302</v>
      </c>
      <c r="AE6" s="4"/>
      <c r="AF6" s="4"/>
      <c r="AG6" s="4"/>
      <c r="AH6" s="4"/>
      <c r="AI6" s="15" t="s">
        <v>127</v>
      </c>
      <c r="AK6" s="78" t="s">
        <v>13</v>
      </c>
      <c r="AL6" s="78" t="s">
        <v>13</v>
      </c>
      <c r="AM6" s="78" t="s">
        <v>107</v>
      </c>
      <c r="AN6" s="78" t="s">
        <v>107</v>
      </c>
      <c r="AO6" s="62" t="s">
        <v>16</v>
      </c>
      <c r="AP6" s="49"/>
      <c r="AQ6" s="49"/>
      <c r="AS6" s="37" t="s">
        <v>17</v>
      </c>
      <c r="AT6" s="38" t="s">
        <v>18</v>
      </c>
      <c r="AU6" s="38"/>
      <c r="AV6" s="38" t="s">
        <v>19</v>
      </c>
      <c r="AW6" s="38" t="s">
        <v>5</v>
      </c>
      <c r="AX6" s="38" t="s">
        <v>9</v>
      </c>
      <c r="AY6" s="38" t="s">
        <v>20</v>
      </c>
      <c r="AZ6" s="43" t="s">
        <v>21</v>
      </c>
      <c r="BA6" s="46"/>
      <c r="BB6" s="47"/>
      <c r="BC6" s="47" t="s">
        <v>117</v>
      </c>
      <c r="BD6" s="38" t="s">
        <v>112</v>
      </c>
      <c r="BE6" s="38" t="s">
        <v>112</v>
      </c>
      <c r="BF6" s="38" t="s">
        <v>115</v>
      </c>
      <c r="BG6"/>
      <c r="BH6" s="38" t="s">
        <v>113</v>
      </c>
      <c r="BI6" s="38" t="s">
        <v>114</v>
      </c>
      <c r="BJ6"/>
      <c r="BK6" s="47" t="s">
        <v>270</v>
      </c>
      <c r="BL6" s="261" t="s">
        <v>287</v>
      </c>
      <c r="BM6" s="40"/>
      <c r="BN6" s="40"/>
      <c r="BO6" s="40"/>
      <c r="BP6" s="40"/>
      <c r="BQ6" s="40"/>
      <c r="BR6" s="38"/>
      <c r="BS6" s="38"/>
      <c r="BT6"/>
      <c r="BU6" s="15" t="s">
        <v>22</v>
      </c>
      <c r="CG6" s="25" t="s">
        <v>23</v>
      </c>
      <c r="CH6" s="26"/>
      <c r="CI6" s="26"/>
      <c r="CJ6" s="26"/>
      <c r="CK6" s="26"/>
      <c r="CL6" s="26"/>
      <c r="CM6" s="26"/>
      <c r="CN6" s="26"/>
      <c r="CO6" s="27"/>
      <c r="CP6" s="27"/>
      <c r="CQ6" s="27"/>
      <c r="CR6" s="28"/>
      <c r="CS6" s="15" t="s">
        <v>24</v>
      </c>
      <c r="CW6" s="25" t="s">
        <v>25</v>
      </c>
      <c r="CX6" s="26"/>
      <c r="CY6" s="26"/>
      <c r="CZ6" s="25"/>
      <c r="DA6" s="26"/>
      <c r="DB6" s="27"/>
      <c r="DE6" s="19" t="s">
        <v>9</v>
      </c>
      <c r="DI6" s="19" t="s">
        <v>20</v>
      </c>
      <c r="DJ6" s="19"/>
      <c r="DK6" s="19"/>
      <c r="DP6" s="15" t="s">
        <v>26</v>
      </c>
      <c r="DV6" s="15" t="s">
        <v>27</v>
      </c>
      <c r="EB6" s="15" t="s">
        <v>28</v>
      </c>
      <c r="EN6" s="15" t="s">
        <v>29</v>
      </c>
      <c r="EZ6" s="15" t="s">
        <v>30</v>
      </c>
      <c r="FE6" s="15" t="s">
        <v>128</v>
      </c>
      <c r="FH6" s="267"/>
      <c r="FR6" s="15" t="s">
        <v>32</v>
      </c>
      <c r="FU6" s="15" t="s">
        <v>33</v>
      </c>
      <c r="FY6" s="15" t="s">
        <v>34</v>
      </c>
      <c r="GD6" s="15" t="s">
        <v>254</v>
      </c>
      <c r="GE6" s="258" t="s">
        <v>250</v>
      </c>
      <c r="GF6" s="258"/>
      <c r="GG6"/>
      <c r="GH6" t="s">
        <v>245</v>
      </c>
      <c r="GI6" t="s">
        <v>242</v>
      </c>
      <c r="GJ6" t="s">
        <v>243</v>
      </c>
      <c r="GK6" t="s">
        <v>244</v>
      </c>
      <c r="GL6" t="s">
        <v>245</v>
      </c>
      <c r="GM6" t="s">
        <v>255</v>
      </c>
      <c r="GN6"/>
      <c r="GO6"/>
      <c r="GP6"/>
      <c r="GQ6"/>
      <c r="GR6"/>
      <c r="GS6"/>
      <c r="GT6"/>
      <c r="GU6"/>
      <c r="GV6"/>
      <c r="GW6" t="s">
        <v>54</v>
      </c>
      <c r="HL6" s="260"/>
    </row>
    <row r="7" spans="1:220" s="15" customFormat="1" ht="21.75" thickTop="1" thickBot="1">
      <c r="A7" s="137" t="s">
        <v>35</v>
      </c>
      <c r="B7" s="92" t="s">
        <v>154</v>
      </c>
      <c r="C7" s="247" t="s">
        <v>38</v>
      </c>
      <c r="D7" s="92" t="s">
        <v>38</v>
      </c>
      <c r="E7" s="92" t="s">
        <v>38</v>
      </c>
      <c r="F7" s="29" t="s">
        <v>41</v>
      </c>
      <c r="G7" s="29" t="s">
        <v>42</v>
      </c>
      <c r="H7" s="29" t="s">
        <v>43</v>
      </c>
      <c r="I7" s="29" t="s">
        <v>44</v>
      </c>
      <c r="J7" s="29" t="s">
        <v>45</v>
      </c>
      <c r="K7" s="29" t="s">
        <v>46</v>
      </c>
      <c r="L7" s="29" t="s">
        <v>47</v>
      </c>
      <c r="M7" s="29" t="s">
        <v>48</v>
      </c>
      <c r="N7" s="29" t="s">
        <v>49</v>
      </c>
      <c r="O7" s="29" t="s">
        <v>50</v>
      </c>
      <c r="P7" s="29" t="s">
        <v>51</v>
      </c>
      <c r="Q7" s="29" t="s">
        <v>52</v>
      </c>
      <c r="R7" s="19" t="s">
        <v>54</v>
      </c>
      <c r="S7" s="249" t="s">
        <v>36</v>
      </c>
      <c r="T7" s="119" t="s">
        <v>140</v>
      </c>
      <c r="U7" s="118" t="s">
        <v>37</v>
      </c>
      <c r="V7" s="119" t="s">
        <v>37</v>
      </c>
      <c r="W7" s="119" t="s">
        <v>306</v>
      </c>
      <c r="X7" s="22" t="s">
        <v>40</v>
      </c>
      <c r="Y7" s="22" t="s">
        <v>40</v>
      </c>
      <c r="Z7" s="250" t="s">
        <v>40</v>
      </c>
      <c r="AA7" s="250" t="s">
        <v>40</v>
      </c>
      <c r="AB7" s="285" t="s">
        <v>126</v>
      </c>
      <c r="AC7" s="281" t="s">
        <v>307</v>
      </c>
      <c r="AD7" s="282" t="s">
        <v>307</v>
      </c>
      <c r="AE7" s="286" t="s">
        <v>308</v>
      </c>
      <c r="AF7" s="269" t="s">
        <v>297</v>
      </c>
      <c r="AG7" s="268" t="s">
        <v>298</v>
      </c>
      <c r="AH7" s="268" t="s">
        <v>299</v>
      </c>
      <c r="AI7" s="61" t="s">
        <v>119</v>
      </c>
      <c r="AJ7" s="22" t="s">
        <v>120</v>
      </c>
      <c r="AK7" s="61" t="s">
        <v>39</v>
      </c>
      <c r="AL7" s="61" t="s">
        <v>39</v>
      </c>
      <c r="AM7" s="264" t="s">
        <v>39</v>
      </c>
      <c r="AN7" s="61" t="s">
        <v>39</v>
      </c>
      <c r="AO7" s="51" t="s">
        <v>41</v>
      </c>
      <c r="AP7" s="51" t="s">
        <v>44</v>
      </c>
      <c r="AQ7" s="51" t="s">
        <v>46</v>
      </c>
      <c r="AR7" s="45"/>
      <c r="AS7" s="39" t="s">
        <v>56</v>
      </c>
      <c r="AT7" s="40" t="s">
        <v>57</v>
      </c>
      <c r="AU7" s="40" t="s">
        <v>105</v>
      </c>
      <c r="AV7" s="40" t="s">
        <v>59</v>
      </c>
      <c r="AW7" s="40" t="s">
        <v>58</v>
      </c>
      <c r="AX7" s="40" t="s">
        <v>55</v>
      </c>
      <c r="AY7" s="40" t="s">
        <v>55</v>
      </c>
      <c r="AZ7" s="44" t="s">
        <v>60</v>
      </c>
      <c r="BA7" s="46"/>
      <c r="BB7" s="47" t="s">
        <v>116</v>
      </c>
      <c r="BC7" s="47" t="s">
        <v>118</v>
      </c>
      <c r="BD7" s="38" t="s">
        <v>141</v>
      </c>
      <c r="BE7" s="38" t="s">
        <v>142</v>
      </c>
      <c r="BF7" s="38" t="s">
        <v>143</v>
      </c>
      <c r="BG7"/>
      <c r="BH7" s="38" t="s">
        <v>109</v>
      </c>
      <c r="BI7" s="38" t="s">
        <v>111</v>
      </c>
      <c r="BJ7"/>
      <c r="BK7" s="38" t="s">
        <v>267</v>
      </c>
      <c r="BL7" s="38" t="s">
        <v>283</v>
      </c>
      <c r="BM7" s="38" t="s">
        <v>284</v>
      </c>
      <c r="BN7" s="38" t="s">
        <v>274</v>
      </c>
      <c r="BO7" s="38" t="s">
        <v>275</v>
      </c>
      <c r="BP7" s="38" t="s">
        <v>281</v>
      </c>
      <c r="BQ7" s="38" t="s">
        <v>288</v>
      </c>
      <c r="BR7" s="38" t="s">
        <v>289</v>
      </c>
      <c r="BS7" s="38" t="s">
        <v>290</v>
      </c>
      <c r="BT7"/>
      <c r="BU7" s="19" t="s">
        <v>61</v>
      </c>
      <c r="BV7" s="19" t="s">
        <v>62</v>
      </c>
      <c r="BW7" s="19" t="s">
        <v>63</v>
      </c>
      <c r="BX7" s="19" t="s">
        <v>64</v>
      </c>
      <c r="BY7" s="19" t="s">
        <v>65</v>
      </c>
      <c r="BZ7" s="19" t="s">
        <v>66</v>
      </c>
      <c r="CA7" s="19" t="s">
        <v>67</v>
      </c>
      <c r="CB7" s="19" t="s">
        <v>68</v>
      </c>
      <c r="CC7" s="19" t="s">
        <v>69</v>
      </c>
      <c r="CD7" s="45" t="s">
        <v>50</v>
      </c>
      <c r="CE7" s="45" t="s">
        <v>51</v>
      </c>
      <c r="CF7" s="19" t="s">
        <v>70</v>
      </c>
      <c r="CG7" s="30" t="s">
        <v>61</v>
      </c>
      <c r="CH7" s="31" t="s">
        <v>62</v>
      </c>
      <c r="CI7" s="31" t="s">
        <v>63</v>
      </c>
      <c r="CJ7" s="31" t="s">
        <v>64</v>
      </c>
      <c r="CK7" s="31" t="s">
        <v>65</v>
      </c>
      <c r="CL7" s="31" t="s">
        <v>66</v>
      </c>
      <c r="CM7" s="31" t="s">
        <v>67</v>
      </c>
      <c r="CN7" s="31" t="s">
        <v>68</v>
      </c>
      <c r="CO7" s="32" t="s">
        <v>69</v>
      </c>
      <c r="CP7" s="32" t="s">
        <v>71</v>
      </c>
      <c r="CQ7" s="32" t="s">
        <v>72</v>
      </c>
      <c r="CR7" s="33"/>
      <c r="CS7" s="19" t="s">
        <v>61</v>
      </c>
      <c r="CT7" s="19" t="s">
        <v>64</v>
      </c>
      <c r="CU7" s="19" t="s">
        <v>66</v>
      </c>
      <c r="CV7" s="19" t="s">
        <v>70</v>
      </c>
      <c r="CW7" s="30" t="s">
        <v>61</v>
      </c>
      <c r="CX7" s="31" t="s">
        <v>64</v>
      </c>
      <c r="CY7" s="31" t="s">
        <v>66</v>
      </c>
      <c r="CZ7" s="30" t="s">
        <v>73</v>
      </c>
      <c r="DA7" s="31" t="s">
        <v>74</v>
      </c>
      <c r="DB7" s="32" t="s">
        <v>75</v>
      </c>
      <c r="DE7" s="19" t="s">
        <v>76</v>
      </c>
      <c r="DF7" s="19" t="s">
        <v>77</v>
      </c>
      <c r="DG7" s="19" t="s">
        <v>78</v>
      </c>
      <c r="DI7" s="19" t="s">
        <v>76</v>
      </c>
      <c r="DJ7" s="19" t="s">
        <v>77</v>
      </c>
      <c r="DK7" s="19"/>
      <c r="DL7" s="15" t="s">
        <v>79</v>
      </c>
      <c r="DM7" s="19" t="s">
        <v>80</v>
      </c>
      <c r="DN7" s="19" t="s">
        <v>81</v>
      </c>
      <c r="DO7" s="19" t="s">
        <v>82</v>
      </c>
      <c r="DP7" s="19" t="s">
        <v>83</v>
      </c>
      <c r="DS7" s="19" t="s">
        <v>84</v>
      </c>
      <c r="DT7" s="19" t="s">
        <v>85</v>
      </c>
      <c r="DU7" s="19" t="s">
        <v>86</v>
      </c>
      <c r="DV7" s="19" t="s">
        <v>83</v>
      </c>
      <c r="DW7" s="19" t="s">
        <v>87</v>
      </c>
      <c r="DY7" s="19" t="s">
        <v>87</v>
      </c>
      <c r="DZ7" s="19" t="s">
        <v>88</v>
      </c>
      <c r="EB7" s="19" t="s">
        <v>61</v>
      </c>
      <c r="EC7" s="19" t="s">
        <v>62</v>
      </c>
      <c r="ED7" s="19" t="s">
        <v>89</v>
      </c>
      <c r="EE7" s="19" t="s">
        <v>64</v>
      </c>
      <c r="EF7" s="19" t="s">
        <v>65</v>
      </c>
      <c r="EG7" s="19" t="s">
        <v>66</v>
      </c>
      <c r="EH7" s="19" t="s">
        <v>67</v>
      </c>
      <c r="EI7" s="19" t="s">
        <v>90</v>
      </c>
      <c r="EJ7" s="19" t="s">
        <v>91</v>
      </c>
      <c r="EK7" s="19" t="s">
        <v>92</v>
      </c>
      <c r="EL7" s="19" t="s">
        <v>93</v>
      </c>
      <c r="EM7" s="19" t="s">
        <v>70</v>
      </c>
      <c r="EN7" s="19" t="s">
        <v>61</v>
      </c>
      <c r="EO7" s="19" t="s">
        <v>62</v>
      </c>
      <c r="EP7" s="19" t="s">
        <v>89</v>
      </c>
      <c r="EQ7" s="19" t="s">
        <v>64</v>
      </c>
      <c r="ER7" s="19" t="s">
        <v>65</v>
      </c>
      <c r="ES7" s="19" t="s">
        <v>66</v>
      </c>
      <c r="ET7" s="19" t="s">
        <v>67</v>
      </c>
      <c r="EU7" s="19" t="s">
        <v>90</v>
      </c>
      <c r="EV7" s="19" t="s">
        <v>91</v>
      </c>
      <c r="EW7" s="19" t="s">
        <v>92</v>
      </c>
      <c r="EX7" s="19" t="s">
        <v>93</v>
      </c>
      <c r="EY7" s="19" t="s">
        <v>70</v>
      </c>
      <c r="EZ7" s="15" t="s">
        <v>94</v>
      </c>
      <c r="FA7" s="15" t="s">
        <v>95</v>
      </c>
      <c r="FB7" s="15" t="s">
        <v>96</v>
      </c>
      <c r="FC7" s="15" t="s">
        <v>97</v>
      </c>
      <c r="FD7" s="15" t="s">
        <v>98</v>
      </c>
      <c r="FE7" s="15" t="s">
        <v>31</v>
      </c>
      <c r="FF7" s="15" t="s">
        <v>292</v>
      </c>
      <c r="FG7" s="15" t="s">
        <v>293</v>
      </c>
      <c r="FH7" s="15" t="s">
        <v>294</v>
      </c>
      <c r="FI7" s="15" t="s">
        <v>99</v>
      </c>
      <c r="FJ7" s="15" t="s">
        <v>100</v>
      </c>
      <c r="FK7" s="15" t="s">
        <v>101</v>
      </c>
      <c r="FL7" s="15" t="s">
        <v>102</v>
      </c>
      <c r="FM7" s="15" t="s">
        <v>39</v>
      </c>
      <c r="FN7" s="15" t="s">
        <v>102</v>
      </c>
      <c r="FO7" s="15" t="s">
        <v>103</v>
      </c>
      <c r="FP7" s="15" t="s">
        <v>66</v>
      </c>
      <c r="FQ7" s="15" t="s">
        <v>64</v>
      </c>
      <c r="FR7" s="15" t="s">
        <v>41</v>
      </c>
      <c r="FS7" s="15" t="s">
        <v>53</v>
      </c>
      <c r="FT7" s="15" t="s">
        <v>46</v>
      </c>
      <c r="FU7" s="15" t="s">
        <v>41</v>
      </c>
      <c r="FV7" s="15" t="s">
        <v>53</v>
      </c>
      <c r="FW7" s="15" t="s">
        <v>46</v>
      </c>
      <c r="FY7" s="15" t="s">
        <v>41</v>
      </c>
      <c r="FZ7" s="15" t="s">
        <v>53</v>
      </c>
      <c r="GA7" s="15" t="s">
        <v>46</v>
      </c>
      <c r="GB7" s="15" t="s">
        <v>57</v>
      </c>
      <c r="GC7" s="15" t="s">
        <v>104</v>
      </c>
      <c r="GD7" s="15" t="s">
        <v>46</v>
      </c>
      <c r="GE7" s="258" t="s">
        <v>251</v>
      </c>
      <c r="GF7" s="258" t="s">
        <v>252</v>
      </c>
      <c r="GG7" s="258" t="s">
        <v>253</v>
      </c>
      <c r="GH7" s="258" t="s">
        <v>249</v>
      </c>
      <c r="GI7" s="258" t="s">
        <v>246</v>
      </c>
      <c r="GJ7" s="258" t="s">
        <v>247</v>
      </c>
      <c r="GK7" s="258" t="s">
        <v>248</v>
      </c>
      <c r="GL7" s="258" t="s">
        <v>245</v>
      </c>
      <c r="GM7" t="s">
        <v>256</v>
      </c>
      <c r="GN7" t="s">
        <v>257</v>
      </c>
      <c r="GO7" t="s">
        <v>258</v>
      </c>
      <c r="GP7" t="s">
        <v>259</v>
      </c>
      <c r="GQ7" t="s">
        <v>260</v>
      </c>
      <c r="GR7" t="s">
        <v>261</v>
      </c>
      <c r="GS7" t="s">
        <v>262</v>
      </c>
      <c r="GT7" t="s">
        <v>263</v>
      </c>
      <c r="GU7" s="258" t="s">
        <v>264</v>
      </c>
      <c r="GV7" s="258" t="s">
        <v>265</v>
      </c>
      <c r="GW7" s="258" t="s">
        <v>266</v>
      </c>
      <c r="GY7" s="78" t="s">
        <v>271</v>
      </c>
      <c r="GZ7" s="78" t="s">
        <v>272</v>
      </c>
      <c r="HA7" s="78" t="s">
        <v>273</v>
      </c>
      <c r="HB7" s="78"/>
      <c r="HC7" s="78" t="s">
        <v>271</v>
      </c>
      <c r="HD7" s="78" t="s">
        <v>272</v>
      </c>
      <c r="HE7" s="78" t="s">
        <v>273</v>
      </c>
      <c r="HF7" s="78" t="s">
        <v>279</v>
      </c>
      <c r="HG7" s="78" t="s">
        <v>280</v>
      </c>
      <c r="HH7" s="78" t="s">
        <v>276</v>
      </c>
      <c r="HI7" s="78" t="s">
        <v>277</v>
      </c>
      <c r="HJ7" s="78" t="s">
        <v>278</v>
      </c>
      <c r="HK7" s="78" t="s">
        <v>285</v>
      </c>
      <c r="HL7" s="78" t="s">
        <v>282</v>
      </c>
    </row>
    <row r="8" spans="1:220" s="2" customFormat="1" ht="20.25">
      <c r="A8" s="98" t="s">
        <v>155</v>
      </c>
      <c r="B8" s="81">
        <v>40</v>
      </c>
      <c r="C8" s="94">
        <f>E8</f>
        <v>-3.7467816473568734</v>
      </c>
      <c r="D8" s="57">
        <f t="shared" ref="D8:D20" si="1">5.5976-24505/(U8+273.15)+0.8099*LOG(U8+273.15)+0.0937*(S8*10*1000-1)/(273.15+U8)+$D$4</f>
        <v>-3.5775054120864924</v>
      </c>
      <c r="E8" s="58">
        <f t="shared" ref="E8:E20" si="2">12.985-25026/(U8+273.15)-1.1786*LOG(U8+273.15)+0.0458*(S8*10*1000-1)/(U8+273.15)+$E$4</f>
        <v>-3.7467816473568734</v>
      </c>
      <c r="F8" s="65">
        <v>46.912736842105254</v>
      </c>
      <c r="G8" s="65">
        <v>1.3430526315789475</v>
      </c>
      <c r="H8" s="65">
        <v>10.237421052631579</v>
      </c>
      <c r="I8" s="65">
        <v>10.633305263157897</v>
      </c>
      <c r="J8" s="65">
        <v>0.17236842105263153</v>
      </c>
      <c r="K8" s="65">
        <v>19.216684210526317</v>
      </c>
      <c r="L8" s="65">
        <v>9.4769473684210528</v>
      </c>
      <c r="M8" s="65">
        <v>1.2376315789473684</v>
      </c>
      <c r="N8" s="65">
        <v>0.35352631578947369</v>
      </c>
      <c r="O8" s="66">
        <v>0.12310526315789473</v>
      </c>
      <c r="P8" s="66">
        <v>0.13800000000000004</v>
      </c>
      <c r="Q8" s="66">
        <v>0.66905263157894745</v>
      </c>
      <c r="R8" s="3">
        <f t="shared" ref="R8:R20" si="3">SUM(F8:P8)</f>
        <v>99.844778947368425</v>
      </c>
      <c r="S8" s="135">
        <v>3</v>
      </c>
      <c r="T8" s="288">
        <f>AM8</f>
        <v>0.3503628047143712</v>
      </c>
      <c r="U8" s="54">
        <f t="shared" ref="U8:V20" si="4">AY8</f>
        <v>1562.4636896443139</v>
      </c>
      <c r="V8" s="54">
        <f t="shared" ca="1" si="4"/>
        <v>1540.6014004695041</v>
      </c>
      <c r="W8" s="54">
        <f t="shared" ref="W8:W40" si="5">DH8+54*S8-2*S8^2-19.93*Q8</f>
        <v>1549.1294706969454</v>
      </c>
      <c r="X8" s="101">
        <f t="shared" ref="X8:X40" ca="1" si="6">V8+674.3*(MAX(BD8:BI8))-13.3*S8</f>
        <v>1646.1322915521355</v>
      </c>
      <c r="Y8" s="101">
        <f t="shared" ref="Y8:Y40" ca="1" si="7">V8+674.3*(MIN(BD8:BI8))-13.3*S8</f>
        <v>1588.5794591238332</v>
      </c>
      <c r="Z8" s="50">
        <f t="shared" ref="Z8:Z40" ca="1" si="8">V8+674.3*(BB8)-AC8*S8</f>
        <v>1635.4576492723643</v>
      </c>
      <c r="AA8" s="50">
        <f t="shared" ref="AA8:AA40" ca="1" si="9">V8+AG8*BB8-AD8*S8</f>
        <v>1611.8616882113424</v>
      </c>
      <c r="AB8" s="103">
        <f ca="1">SQRT((STDEV(X8:Z8))^2+(Z8-AA8)^2)</f>
        <v>38.653282504600462</v>
      </c>
      <c r="AC8" s="283">
        <v>13.3</v>
      </c>
      <c r="AD8" s="283">
        <f t="shared" ref="AD8:AD40" ca="1" si="10">10000*$AD$1*$AD$2*V8/AF8</f>
        <v>12.039284155808069</v>
      </c>
      <c r="AE8" s="3">
        <f t="shared" ref="AE8:AE40" ca="1" si="11">IF(V8&gt;1890,130,21.1+0.061*V8-7.6*10^-5*(V8-1600)^2)</f>
        <v>114.80854271304976</v>
      </c>
      <c r="AF8" s="3">
        <f t="shared" ref="AF8:AF40" ca="1" si="12">130+11.4*LN(V8)</f>
        <v>213.67518078414469</v>
      </c>
      <c r="AG8" s="3">
        <f t="shared" ref="AG8:AG40" ca="1" si="13">1000*AE8/AF8</f>
        <v>537.30406260439622</v>
      </c>
      <c r="AH8" s="3">
        <f t="shared" ref="AH8:AH40" ca="1" si="14">AG8*BB8</f>
        <v>107.37814020926241</v>
      </c>
      <c r="AI8" s="85">
        <f>((3*CG8)^-2)*((1-CI8)^(7/2))*((1-CH8)^7)</f>
        <v>0.38910704037605715</v>
      </c>
      <c r="AJ8" s="85">
        <f t="shared" ref="AJ8:AJ40" ca="1" si="15">(231.5+0.186*V8+0.1244*V8*(LN(AI8))-528.5*AI8^0.5+103.3*CH8+69.9*(CO8+CN8)+77.3*CI8/(CI8+CG8))/10</f>
        <v>2.603286215543926</v>
      </c>
      <c r="AK8" s="85">
        <f t="shared" ref="AK8:AK40" si="16">0.0583+0.00252*F8+0.028*S8-0.0091*(M8+N8)-0.013383*D8</f>
        <v>0.29391831492995352</v>
      </c>
      <c r="AL8" s="86">
        <f ca="1">(CT8/CU8)/(CJ8/CL8)</f>
        <v>0.27691051210096762</v>
      </c>
      <c r="AM8" s="85">
        <f t="shared" ref="AM8:AM40" si="17">0.21+0.008*S8+0.0025*F8-3.63*10^-4*(M8+N8)^2</f>
        <v>0.3503628047143712</v>
      </c>
      <c r="AN8" s="85">
        <f ca="1">FM8</f>
        <v>0.35036280471437065</v>
      </c>
      <c r="AO8" s="123">
        <f t="shared" ref="AO8:AO20" ca="1" si="18">FY8</f>
        <v>41.242834960771908</v>
      </c>
      <c r="AP8" s="123">
        <f t="shared" ref="AP8:AP20" ca="1" si="19">FZ8</f>
        <v>7.8068548322690292</v>
      </c>
      <c r="AQ8" s="123">
        <f t="shared" ref="AQ8:AQ20" ca="1" si="20">GA8</f>
        <v>50.950310206959053</v>
      </c>
      <c r="AS8" s="53">
        <f ca="1">100*(1/FK8/(1+1/FK8))</f>
        <v>80.302226563324155</v>
      </c>
      <c r="AT8" s="53">
        <f t="shared" ref="AT8:AT20" ca="1" si="21">100*CU8/(CU8+CT8)</f>
        <v>92.085914290693353</v>
      </c>
      <c r="AU8" s="63">
        <f t="shared" ref="AU8:AU40" ca="1" si="22">(CX8/CY8)/(FK8)</f>
        <v>0.35036280471437065</v>
      </c>
      <c r="AV8" s="53">
        <f t="shared" ref="AV8:AV20" si="23">(0.666-(-0.049*CK8+0.027*CJ8))/(1*CL8+0.259*CK8+0.299*CJ8)</f>
        <v>2.3487166583019974</v>
      </c>
      <c r="AW8" s="53">
        <f t="shared" ref="AW8:AW20" ca="1" si="24">CY8/CL8</f>
        <v>2.3762618226127286</v>
      </c>
      <c r="AX8" s="54">
        <f t="shared" ref="AX8:AX20" si="25">(DE8/DF8)-273.15</f>
        <v>1602.8748438449147</v>
      </c>
      <c r="AY8" s="54">
        <f>(DK8-273.15)+54*DL8-2*DL8^2</f>
        <v>1562.4636896443139</v>
      </c>
      <c r="AZ8" s="54">
        <f t="shared" ref="AZ8:AZ40" ca="1" si="26">(15294.6+1318.8*DL8+2.4834*DL8^2)/(8.048+2.8352*LN(DV8)+2.097*LN(1.5*DN8)+2.575*LN(3*DO8)-1.41*DM8+0.222*Q8+0.5*DL8)</f>
        <v>1540.6014004695041</v>
      </c>
      <c r="BA8" s="34"/>
      <c r="BB8" s="63">
        <f t="shared" ref="BB8:BB40" ca="1" si="27">AVERAGE(BE8,BI8)</f>
        <v>0.1998461349590098</v>
      </c>
      <c r="BC8" s="63">
        <f t="shared" ref="BC8:BC40" ca="1" si="28">STDEV(BD8:BI8)</f>
        <v>3.2452155140175735E-2</v>
      </c>
      <c r="BD8" s="53">
        <f t="shared" ref="BD8:BD40" si="29">IF(-1.997+0.0316*F8-0.041*I8+0.0458*K8+0.0235*L8&lt;0,0,-1.997+0.0316*F8-0.041*I8+0.0458*K8+0.0235*L8)</f>
        <v>0.15230936842105239</v>
      </c>
      <c r="BE8" s="53">
        <f t="shared" ref="BE8:BE40" ca="1" si="30">IF(-2.95-0.0556*I8-0.176*N8+0.00274*V8-0.1446*S8&lt;0,0,-2.95-0.0556*I8-0.176*N8+0.00274*V8-0.1446*S8)</f>
        <v>0.18401543307591445</v>
      </c>
      <c r="BF8" s="53">
        <f t="shared" ref="BF8:BF40" ca="1" si="31">IF((V8+5.14*S8^2-132.9*S8-1120.7)/(465.3+233.7*S8^0.5+5.14*S8^2-132.9*S8)&lt;0,0,(V8+5.14*S8^2-132.9*S8-1120.7)/(465.3+233.7*S8^0.5+5.14*S8^2-132.9*S8))</f>
        <v>0.13032486824014408</v>
      </c>
      <c r="BG8"/>
      <c r="BH8" s="53">
        <f t="shared" ref="BH8:BH40" si="32">IF((-117.2-1.62*S8+2.12*F8+4.2*K8-3.93*I8)/100&lt;0,0,(-117.2-1.62*S8+2.12*F8+4.2*K8-3.93*I8)/100)</f>
        <v>0.1631618610526315</v>
      </c>
      <c r="BI8" s="53">
        <f t="shared" ref="BI8:BI40" si="33">IF((-105.1-2.34*S8+1.789*F8+3.84*K8-2.26*I8)/100&lt;0,0,(-105.1-2.34*S8+1.789*F8+3.84*K8-2.26*I8)/100)</f>
        <v>0.21567683684210515</v>
      </c>
      <c r="BJ8"/>
      <c r="BK8" s="53">
        <f>GW8</f>
        <v>0.27898548161082509</v>
      </c>
      <c r="BL8" s="53">
        <f>(HL8*K8-38.12*HK8)/(HL8*K8-K8*HK8)</f>
        <v>0.17942092940965026</v>
      </c>
      <c r="BM8" s="53">
        <f>(0.98/BL8-0.9*(LN(BL8))^2+0.07*(LN(BL8)^4))^-1</f>
        <v>0.29279023353989908</v>
      </c>
      <c r="BN8" s="53">
        <f t="shared" ref="BN8" si="34">6.2819*HD8^2-14.7789*HD8^3+0.00825*(1/HD8)^2</f>
        <v>0.31372789862610473</v>
      </c>
      <c r="BO8" s="53">
        <f t="shared" ref="BO8" si="35">HH8+HI8*HC8+HJ8/HC8</f>
        <v>0.34893444092833259</v>
      </c>
      <c r="BP8" s="53">
        <f t="shared" ref="BP8" si="36">-2.5345+5.329*(HE8+0.348*HC8)+0.3012/(HE8+0.348*HC8)</f>
        <v>0.34222386346118838</v>
      </c>
      <c r="BQ8" s="54">
        <f>1020+24.4*K8-0.16*K8^2</f>
        <v>1429.8021424093074</v>
      </c>
      <c r="BR8" s="262">
        <f>(K8^-0.52)*EXP(0.13+0.15*K8)</f>
        <v>4.3732114231738892</v>
      </c>
      <c r="BS8" s="54">
        <f>EXP(7.12-0.06/(BR8^4)+0.187*LN(BR8))</f>
        <v>1629.0527906214711</v>
      </c>
      <c r="BT8" s="17"/>
      <c r="BU8" s="2">
        <f t="shared" ref="BU8:BU40" si="37">F8/60.08</f>
        <v>0.78083783026140574</v>
      </c>
      <c r="BV8" s="2">
        <f t="shared" ref="BV8:BV40" si="38">G8/79.9</f>
        <v>1.6809169356432382E-2</v>
      </c>
      <c r="BW8" s="2">
        <f t="shared" ref="BW8:BW40" si="39">H8*2/101.96</f>
        <v>0.20081249612851274</v>
      </c>
      <c r="BX8" s="2">
        <f t="shared" ref="BX8:BX40" si="40">I8/71.85</f>
        <v>0.14799311430978285</v>
      </c>
      <c r="BY8" s="2">
        <f t="shared" ref="BY8:BY40" si="41">J8/70.94</f>
        <v>2.4297775733384767E-3</v>
      </c>
      <c r="BZ8" s="2">
        <f t="shared" ref="BZ8:BZ40" si="42">K8/40.3</f>
        <v>0.47684079926864315</v>
      </c>
      <c r="CA8" s="2">
        <f t="shared" ref="CA8:CA40" si="43">L8/56.08</f>
        <v>0.16898978902319994</v>
      </c>
      <c r="CB8" s="2">
        <f t="shared" ref="CB8:CB40" si="44">M8*2/61.98</f>
        <v>3.9936482057030286E-2</v>
      </c>
      <c r="CC8" s="2">
        <f t="shared" ref="CC8:CC40" si="45">N8*2/94.2</f>
        <v>7.505866577271203E-3</v>
      </c>
      <c r="CD8" s="2">
        <f t="shared" ref="CD8:CD40" si="46">2*O8/151.99</f>
        <v>1.619912667384627E-3</v>
      </c>
      <c r="CE8" s="2">
        <f t="shared" ref="CE8:CE40" si="47">2*P8/141.94</f>
        <v>1.9444835846132175E-3</v>
      </c>
      <c r="CF8" s="2">
        <f t="shared" ref="CF8:CF20" si="48">SUM(BU8:CE8)</f>
        <v>1.8457197208076144</v>
      </c>
      <c r="CG8" s="2">
        <f t="shared" ref="CG8:CO20" si="49">BU8/$CF8</f>
        <v>0.42305330622990894</v>
      </c>
      <c r="CH8" s="2">
        <f t="shared" si="49"/>
        <v>9.1071082824413611E-3</v>
      </c>
      <c r="CI8" s="2">
        <f t="shared" si="49"/>
        <v>0.1087990196261462</v>
      </c>
      <c r="CJ8" s="2">
        <f t="shared" si="49"/>
        <v>8.0181791764692686E-2</v>
      </c>
      <c r="CK8" s="2">
        <f t="shared" si="49"/>
        <v>1.3164390811597883E-3</v>
      </c>
      <c r="CL8" s="2">
        <f t="shared" si="49"/>
        <v>0.25834951747711532</v>
      </c>
      <c r="CM8" s="2">
        <f t="shared" si="49"/>
        <v>9.1557665618513653E-2</v>
      </c>
      <c r="CN8" s="2">
        <f t="shared" si="49"/>
        <v>2.163734916347735E-2</v>
      </c>
      <c r="CO8" s="2">
        <f t="shared" si="49"/>
        <v>4.0666340033398626E-3</v>
      </c>
      <c r="CP8" s="2">
        <f t="shared" ref="CP8:CP20" si="50">CD8/CF8</f>
        <v>8.7765907744422696E-4</v>
      </c>
      <c r="CQ8" s="2">
        <f t="shared" ref="CQ8:CQ20" si="51">CE8/CF8</f>
        <v>1.0535096757607314E-3</v>
      </c>
      <c r="CS8" s="2">
        <f t="shared" ref="CS8:CS40" ca="1" si="52">AO8/60.08</f>
        <v>0.68646529561870684</v>
      </c>
      <c r="CT8" s="2">
        <f t="shared" ref="CT8:CT40" ca="1" si="53">AP8/71.85</f>
        <v>0.10865490371981948</v>
      </c>
      <c r="CU8" s="2">
        <f t="shared" ref="CU8:CU40" ca="1" si="54">AQ8/40.3</f>
        <v>1.2642756875175944</v>
      </c>
      <c r="CV8" s="2">
        <f t="shared" ref="CV8:CV20" ca="1" si="55">SUM(CS8:CU8)</f>
        <v>2.0593958868561208</v>
      </c>
      <c r="CW8" s="2">
        <f t="shared" ref="CW8:CW20" ca="1" si="56">CS8/$CV8</f>
        <v>0.33333333333333326</v>
      </c>
      <c r="CX8" s="2">
        <f t="shared" ref="CX8:CX20" ca="1" si="57">CT8/$CV8</f>
        <v>5.2760571395377667E-2</v>
      </c>
      <c r="CY8" s="2">
        <f t="shared" ref="CY8:CY20" ca="1" si="58">CU8/$CV8</f>
        <v>0.61390609527128903</v>
      </c>
      <c r="CZ8" s="2">
        <f t="shared" ref="CZ8:CZ20" si="59">CL8+CJ8+CM8+CK8</f>
        <v>0.43140541394148146</v>
      </c>
      <c r="DA8" s="2">
        <f t="shared" ref="DA8:DA20" si="60">CG8</f>
        <v>0.42305330622990894</v>
      </c>
      <c r="DB8" s="2">
        <f t="shared" ref="DB8:DB20" si="61">(7/2)*LN(1-CI8)+7*LN(1-CH8)</f>
        <v>-0.46719040465660355</v>
      </c>
      <c r="DD8" s="2">
        <f t="shared" ref="DD8:DD20" si="62">(DE8/DF8)-273.15</f>
        <v>1602.8748438449147</v>
      </c>
      <c r="DE8" s="2">
        <f t="shared" ref="DE8:DE20" si="63">113.1*1000/8.3144+(DL8*10^9-10^5)*4.11*(10^-6)/8.3144</f>
        <v>15085.825675935726</v>
      </c>
      <c r="DF8" s="2">
        <f t="shared" ref="DF8:DF40" si="64">52.05/8.3144+2*LN(AV8)+2*LN(1.5*CZ8)+2*LN(3*DA8)-DB8</f>
        <v>8.0413784100093864</v>
      </c>
      <c r="DG8" s="2">
        <f t="shared" ref="DG8:DG20" si="65">DI8/DJ8</f>
        <v>1691.6136896443138</v>
      </c>
      <c r="DH8" s="2">
        <f t="shared" ref="DH8:DH20" si="66">DG8-273.15</f>
        <v>1418.4636896443139</v>
      </c>
      <c r="DI8" s="2">
        <f>113.1*1000/8.3144+(0.0001*10^9-10^5)*4.11*(10^-6)/8.3144</f>
        <v>13602.905801982104</v>
      </c>
      <c r="DJ8" s="2">
        <f t="shared" ref="DJ8:DJ40" si="67">52.05/8.3144+2*LN(AV8)+2*LN(1.5*CZ8)+2*LN(3*DA8)-DB8</f>
        <v>8.0413784100093864</v>
      </c>
      <c r="DK8" s="2">
        <f t="shared" ref="DK8:DK20" si="68">DI8/DJ8</f>
        <v>1691.6136896443138</v>
      </c>
      <c r="DL8" s="2">
        <f t="shared" ref="DL8:DL40" si="69">S8</f>
        <v>3</v>
      </c>
      <c r="DM8" s="2">
        <f t="shared" ref="DM8:DM20" si="70">(7/2)*LN(1-CI8)+7*LN(1-CH8)</f>
        <v>-0.46719040465660355</v>
      </c>
      <c r="DN8" s="2">
        <f t="shared" ref="DN8:DN20" si="71">CL8+CJ8+CK8+CM8</f>
        <v>0.43140541394148146</v>
      </c>
      <c r="DO8" s="2">
        <f t="shared" ref="DO8:DO20" si="72">CG8</f>
        <v>0.42305330622990894</v>
      </c>
      <c r="DP8" s="2">
        <f t="shared" ref="DP8:DP20" si="73">(0.666-(-0.049*CK8+0.027*CJ8))/(CL8+0.259*CK8+0.299*CJ8)</f>
        <v>2.3487166583019974</v>
      </c>
      <c r="DQ8" s="2">
        <f t="shared" ref="DQ8:DQ40" si="74">13603+4.943*10^-7*(S8*10^9-10^-5)</f>
        <v>15085.899999999994</v>
      </c>
      <c r="DR8" s="2">
        <f t="shared" ref="DR8:DR20" si="75">6.26+2*LN(DP8)+2*LN(1.5*DN8)+2*LN(3*DO8)-DM8</f>
        <v>8.0411551828372509</v>
      </c>
      <c r="DS8" s="2">
        <f t="shared" ref="DS8:DS20" si="76">(DQ8/DR8)-273.15</f>
        <v>1602.9361663506743</v>
      </c>
      <c r="DT8" s="2">
        <f t="shared" ref="DT8:DT20" si="77">(13603+4.943*10^-7*(0.0001*10^9-10^-5))/(6.26+2*LN(DP8)+2*LN(1.5*DN8)+2*LN(3*DO8)-DM8)-273.15</f>
        <v>1418.5285114449539</v>
      </c>
      <c r="DU8" s="2">
        <f t="shared" ref="DU8:DU20" si="78">DT8+54*DL8-2*DL8^2</f>
        <v>1562.5285114449539</v>
      </c>
      <c r="DV8" s="9">
        <f t="shared" ref="DV8:DV20" ca="1" si="79">CY8/CL8</f>
        <v>2.3762618226127286</v>
      </c>
      <c r="DW8" s="2">
        <f t="shared" ref="DW8:DW40" ca="1" si="80">LN(DV8)+2.158+6.213*10^-2*Q8-5.115*10^-2*(M8+N8)</f>
        <v>2.9837091038159458</v>
      </c>
      <c r="DX8" s="2">
        <f t="shared" ref="DX8:DX20" si="81">55.09*DL8+4430</f>
        <v>4595.2700000000004</v>
      </c>
      <c r="DY8" s="2">
        <f ca="1">DX8/DW8</f>
        <v>1540.1199782254196</v>
      </c>
      <c r="DZ8" s="2">
        <f t="shared" ref="DZ8:DZ20" ca="1" si="82">CY8/(CL8*CG8^0.5)</f>
        <v>3.653395957446036</v>
      </c>
      <c r="EB8" s="2">
        <f t="shared" ref="EB8:EB40" si="83">F8/60.08</f>
        <v>0.78083783026140574</v>
      </c>
      <c r="EC8" s="2">
        <f t="shared" ref="EC8:EC40" si="84">G8/79.9</f>
        <v>1.6809169356432382E-2</v>
      </c>
      <c r="ED8" s="2">
        <f t="shared" ref="ED8:ED40" si="85">H8/101.96</f>
        <v>0.10040624806425637</v>
      </c>
      <c r="EE8" s="2">
        <f t="shared" ref="EE8:EE40" si="86">I8/71.85</f>
        <v>0.14799311430978285</v>
      </c>
      <c r="EF8" s="2">
        <f t="shared" ref="EF8:EF40" si="87">J8/70.94</f>
        <v>2.4297775733384767E-3</v>
      </c>
      <c r="EG8" s="2">
        <f t="shared" ref="EG8:EG40" si="88">K8/40.3</f>
        <v>0.47684079926864315</v>
      </c>
      <c r="EH8" s="2">
        <f t="shared" ref="EH8:EH40" si="89">L8/56.08</f>
        <v>0.16898978902319994</v>
      </c>
      <c r="EI8" s="2">
        <f t="shared" ref="EI8:EI40" si="90">M8/61.98</f>
        <v>1.9968241028515143E-2</v>
      </c>
      <c r="EJ8" s="2">
        <f t="shared" ref="EJ8:EJ40" si="91">N8/94.2</f>
        <v>3.7529332886356015E-3</v>
      </c>
      <c r="EK8" s="2">
        <f t="shared" ref="EK8:EK40" si="92">O8/151.99</f>
        <v>8.099563336923135E-4</v>
      </c>
      <c r="EL8" s="2">
        <f t="shared" ref="EL8:EL40" si="93">P8/141.94</f>
        <v>9.7224179230660877E-4</v>
      </c>
      <c r="EM8" s="2">
        <f t="shared" ref="EM8:EM20" si="94">SUM(EB8:EL8)</f>
        <v>1.7198101003002086</v>
      </c>
      <c r="EN8" s="2">
        <f t="shared" ref="EN8:EX20" si="95">EB8/$EM8</f>
        <v>0.45402561022586352</v>
      </c>
      <c r="EO8" s="2">
        <f t="shared" si="95"/>
        <v>9.7738519813892165E-3</v>
      </c>
      <c r="EP8" s="2">
        <f t="shared" si="95"/>
        <v>5.8382171407604558E-2</v>
      </c>
      <c r="EQ8" s="2">
        <f t="shared" si="95"/>
        <v>8.6052009046783298E-2</v>
      </c>
      <c r="ER8" s="2">
        <f t="shared" si="95"/>
        <v>1.4128173644952641E-3</v>
      </c>
      <c r="ES8" s="2">
        <f t="shared" si="95"/>
        <v>0.27726363462187259</v>
      </c>
      <c r="ET8" s="2">
        <f t="shared" si="95"/>
        <v>9.8260725991608733E-2</v>
      </c>
      <c r="EU8" s="2">
        <f t="shared" si="95"/>
        <v>1.1610724361387053E-2</v>
      </c>
      <c r="EV8" s="2">
        <f t="shared" si="95"/>
        <v>2.1821788859017009E-3</v>
      </c>
      <c r="EW8" s="2">
        <f t="shared" si="95"/>
        <v>4.7095684200885215E-4</v>
      </c>
      <c r="EX8" s="2">
        <f t="shared" si="95"/>
        <v>5.6531927108515931E-4</v>
      </c>
      <c r="EY8" s="2">
        <f t="shared" ref="EY8:EY20" si="96">SUM(EN8:EX8)</f>
        <v>0.99999999999999989</v>
      </c>
      <c r="EZ8" s="2">
        <f t="shared" ref="EZ8:EZ40" si="97">IF(CI8&lt;CN8+CO8+2*(CM8+CL8),CI8,CN8+CO8+2*(CM8+CL8))</f>
        <v>0.1087990196261462</v>
      </c>
      <c r="FA8" s="2">
        <f t="shared" ref="FA8:FA40" si="98">CG8+CH8+EZ8</f>
        <v>0.54095943413849656</v>
      </c>
      <c r="FB8" s="2">
        <f t="shared" ref="FB8:FB40" si="99">2*CG8+2*CH8+1.5*CI8+CJ8+CK8+CL8+CM8+0.5*(CN8+CO8)+CP8*1.5+CQ8*5/2</f>
        <v>1.4757270267943783</v>
      </c>
      <c r="FC8" s="2">
        <f t="shared" ref="FC8:FC20" si="100">(2*FB8-4*FA8)</f>
        <v>0.78761631703477031</v>
      </c>
      <c r="FD8" s="2">
        <f t="shared" ref="FD8:FD20" si="101">FC8/FA8</f>
        <v>1.4559618842567863</v>
      </c>
      <c r="FE8" s="2">
        <f t="shared" ref="FE8:FE40" ca="1" si="102">EXP(-6.53+10813.8/(V8+273.15)+0.19*C8*2.3026+12.4*(EV8+EU8)-3.44*EP8/(EP8+EN8)+4.15*ET8)</f>
        <v>0.13262821273217096</v>
      </c>
      <c r="FF8" s="2">
        <f t="shared" ref="FF8:FF40" ca="1" si="103">EXP(-6.53+10813.8/(V8+273.15)+0.19*C8*2.3026+12.4*(EU8+EV8)-3.44*(EP8/(EP8+EN8))+4.15*ET8)</f>
        <v>0.13262821273217096</v>
      </c>
      <c r="FG8" s="2">
        <f t="shared" ref="FG8:FG40" ca="1" si="104">EXP(-6.75+10634.9/(V8+273.15)+0.195*C8*2.3026+7.9*(EV8+EU8)-4.6*ES8+0.54*ES8/(ES8+EQ8)-53.4*EX8+1.07*FD8)</f>
        <v>0.16604339325732539</v>
      </c>
      <c r="FH8" s="2">
        <f t="shared" ref="FH8:FH40" ca="1" si="105">14.45-24200.5/(V8+273.15)+2.17*LN(FE8)-19.6*(EU8+EV8)-35.6*FI8-10.09*ET8+2.27*ES8/(ES8+EQ8)</f>
        <v>-3.1271998635079798</v>
      </c>
      <c r="FI8" s="2">
        <f t="shared" ref="FI8:FI40" ca="1" si="106">EQ8*FE8/(1+2*FE8)</f>
        <v>9.0202459613662883E-3</v>
      </c>
      <c r="FJ8" s="2">
        <f t="shared" ref="FJ8:FJ40" ca="1" si="107">EQ8-2*FI8</f>
        <v>6.8011517124050722E-2</v>
      </c>
      <c r="FK8" s="2">
        <f t="shared" ref="FK8:FK40" ca="1" si="108">FJ8/ES8</f>
        <v>0.24529548282378852</v>
      </c>
      <c r="FL8" s="2">
        <f t="shared" ref="FL8:FL40" ca="1" si="109">CX8/CY8</f>
        <v>8.594241334590827E-2</v>
      </c>
      <c r="FM8" s="2">
        <f ca="1">FL8/FK8</f>
        <v>0.35036280471437065</v>
      </c>
      <c r="FN8" s="2">
        <f ca="1">FQ8/FP8</f>
        <v>8.5942413345908283E-2</v>
      </c>
      <c r="FO8" s="2">
        <f t="shared" ref="FO8:FO40" ca="1" si="110">(FK8)*T8</f>
        <v>8.5942413345908408E-2</v>
      </c>
      <c r="FP8" s="2">
        <f ca="1">2/(1+FO8)</f>
        <v>1.841718285813867</v>
      </c>
      <c r="FQ8" s="2">
        <f t="shared" ref="FQ8:FQ20" ca="1" si="111">2-FP8</f>
        <v>0.15828171418613302</v>
      </c>
      <c r="FR8" s="2">
        <f>1/3</f>
        <v>0.33333333333333331</v>
      </c>
      <c r="FS8" s="2">
        <f t="shared" ref="FS8:FS20" ca="1" si="112">FQ8/3</f>
        <v>5.2760571395377674E-2</v>
      </c>
      <c r="FT8" s="2">
        <f t="shared" ref="FT8:FT20" ca="1" si="113">FP8/3</f>
        <v>0.61390609527128903</v>
      </c>
      <c r="FU8" s="2">
        <f t="shared" ref="FU8:FU20" si="114">60.08*FR8</f>
        <v>20.026666666666664</v>
      </c>
      <c r="FV8" s="2">
        <f t="shared" ref="FV8:FV20" ca="1" si="115">71.85*FS8</f>
        <v>3.7908470547578856</v>
      </c>
      <c r="FW8" s="2">
        <f t="shared" ref="FW8:FW20" ca="1" si="116">40.3*FT8</f>
        <v>24.740415639432946</v>
      </c>
      <c r="FX8" s="2">
        <f t="shared" ref="FX8:FX20" ca="1" si="117">SUM(FU8:FW8)</f>
        <v>48.5579293608575</v>
      </c>
      <c r="FY8" s="2">
        <f t="shared" ref="FY8:GA20" ca="1" si="118">100*FU8/$FX8</f>
        <v>41.242834960771908</v>
      </c>
      <c r="FZ8" s="2">
        <f t="shared" ca="1" si="118"/>
        <v>7.8068548322690292</v>
      </c>
      <c r="GA8" s="2">
        <f t="shared" ca="1" si="118"/>
        <v>50.950310206959053</v>
      </c>
      <c r="GB8" s="2">
        <f t="shared" ref="GB8:GB20" ca="1" si="119">100*GA8/40.3/(GA8/40.3+FZ8/71.85)</f>
        <v>92.085914290693353</v>
      </c>
      <c r="GC8" s="2">
        <f t="shared" ref="GC8:GC39" si="120">S8*10^9</f>
        <v>3000000000</v>
      </c>
      <c r="GD8" s="2">
        <f>$BK$5</f>
        <v>38</v>
      </c>
      <c r="GE8">
        <f>-5.1404654*S8^2+132.899012*S8+1120.66061</f>
        <v>1473.0934573999998</v>
      </c>
      <c r="GF8">
        <f>1120+132.9*S8-5.104*S8^2</f>
        <v>1472.7640000000001</v>
      </c>
      <c r="GG8">
        <f>1070+14.93*GD8+72.23*S8-3.249*S8^2</f>
        <v>1824.7890000000002</v>
      </c>
      <c r="GH8" s="2">
        <f>(U8-GF8)/(GG8-GF8)</f>
        <v>0.25481056642089001</v>
      </c>
      <c r="GI8" s="2">
        <f>2.195-0.302*S8</f>
        <v>1.2889999999999999</v>
      </c>
      <c r="GJ8" s="2">
        <f>-3.474+0.572*S8</f>
        <v>-1.7580000000000005</v>
      </c>
      <c r="GK8" s="2">
        <f>2.288-0.271*S8</f>
        <v>1.4749999999999996</v>
      </c>
      <c r="GL8" s="2">
        <f>-GH8</f>
        <v>-0.25481056642089001</v>
      </c>
      <c r="GM8">
        <f>-GJ8/(3*GK8)</f>
        <v>0.39728813559322051</v>
      </c>
      <c r="GN8">
        <f>(-GJ8^3)/(27*(GK8^3))</f>
        <v>6.2707110191402335E-2</v>
      </c>
      <c r="GO8">
        <f>(GJ8*GI8)/(6*(GK8^2))</f>
        <v>-0.17359471416259706</v>
      </c>
      <c r="GP8">
        <f>GL8/(2*GK8)</f>
        <v>-8.637646319352206E-2</v>
      </c>
      <c r="GQ8">
        <f>GI8/(3*GK8)</f>
        <v>0.29129943502824862</v>
      </c>
      <c r="GR8">
        <f>(GJ8^2)/(9*(GK8^2))</f>
        <v>0.15783786268313718</v>
      </c>
      <c r="GS8">
        <f>GN8+GO8-GP8</f>
        <v>-2.4511140777672663E-2</v>
      </c>
      <c r="GT8">
        <f>(GQ8-GR8)^3</f>
        <v>2.3772163645384482E-3</v>
      </c>
      <c r="GU8">
        <f>(GS8+SQRT(GS8^2+GT8))^(1/3)</f>
        <v>0.31093035565458127</v>
      </c>
      <c r="GV8">
        <f>(GS8-(SQRT(GS8^2+GT8)))^(1/3)</f>
        <v>-0.42923300963697669</v>
      </c>
      <c r="GW8">
        <f>GU8+GV8+GM8</f>
        <v>0.27898548161082509</v>
      </c>
      <c r="GY8" s="15">
        <f>1.5*EO8+0.5*(EP8+EW8+EQ8+ER8+ES8)-0.5*(ET8+EU8)+3*EV8</f>
        <v>0.17806238409467331</v>
      </c>
      <c r="GZ8" s="2">
        <f>EO8+EP8+EW8</f>
        <v>6.8626980231002624E-2</v>
      </c>
      <c r="HA8" s="2">
        <f>EN8-0.5*(EP8+EW8+EQ8+ER8+ES8)-1.5*ET8-3*EU8</f>
        <v>6.0011553512906976E-2</v>
      </c>
      <c r="HB8" s="2">
        <f>SUM(GY8:HA8)</f>
        <v>0.30670091783858294</v>
      </c>
      <c r="HC8" s="2">
        <f>GY8/$HB8</f>
        <v>0.58057336557560535</v>
      </c>
      <c r="HD8" s="2">
        <f t="shared" ref="HD8:HE8" si="121">GZ8/$HB8</f>
        <v>0.22375863989791217</v>
      </c>
      <c r="HE8" s="2">
        <f t="shared" si="121"/>
        <v>0.1956679945264824</v>
      </c>
      <c r="HF8" s="2">
        <f t="shared" ref="HF8" si="122">-1.994+2.25*HE8+0.041/HE8</f>
        <v>-1.3442084002433676</v>
      </c>
      <c r="HG8" s="2">
        <f t="shared" ref="HG8" si="123">-1.183-3.005*HE8+13.774*HE8^2-12.615*HE8^3</f>
        <v>-1.3381346807651098</v>
      </c>
      <c r="HH8" s="2">
        <f>(HF8+HG8)/2</f>
        <v>-1.3411715405042388</v>
      </c>
      <c r="HI8" s="2">
        <f t="shared" ref="HI8" si="124">(HE8^0.245)*EXP(0.931+1.623*HE8)</f>
        <v>2.3370555955311452</v>
      </c>
      <c r="HJ8" s="2">
        <f t="shared" ref="HJ8" si="125">(HE8^0.577)*EXP(0.769-7.514*HE8)</f>
        <v>0.19348986199751073</v>
      </c>
      <c r="HK8" s="2">
        <f>0.3813-0.7896/K8+1.0389/(K8^2)</f>
        <v>0.34302401047420095</v>
      </c>
      <c r="HL8" s="2">
        <f>$BL$5/I8</f>
        <v>0.7542339659698819</v>
      </c>
    </row>
    <row r="9" spans="1:220" s="2" customFormat="1" ht="20.25">
      <c r="A9" s="98" t="s">
        <v>156</v>
      </c>
      <c r="B9" s="81">
        <v>62</v>
      </c>
      <c r="C9" s="94">
        <f t="shared" ref="C9:C40" si="126">E9</f>
        <v>-3.745512598322557</v>
      </c>
      <c r="D9" s="57">
        <f t="shared" si="1"/>
        <v>-3.5762571844556339</v>
      </c>
      <c r="E9" s="58">
        <f t="shared" si="2"/>
        <v>-3.745512598322557</v>
      </c>
      <c r="F9" s="65">
        <v>45.721249999999998</v>
      </c>
      <c r="G9" s="65">
        <v>1.2921499999999999</v>
      </c>
      <c r="H9" s="65">
        <v>10.884300000000001</v>
      </c>
      <c r="I9" s="65">
        <v>11.181815</v>
      </c>
      <c r="J9" s="65">
        <v>0.18089999999999998</v>
      </c>
      <c r="K9" s="65">
        <v>19.108049999999999</v>
      </c>
      <c r="L9" s="65">
        <v>9.7714999999999996</v>
      </c>
      <c r="M9" s="65">
        <v>1.2752999999999999</v>
      </c>
      <c r="N9" s="65">
        <v>0.2311</v>
      </c>
      <c r="O9" s="66">
        <v>9.4E-2</v>
      </c>
      <c r="P9" s="66">
        <v>0.1348</v>
      </c>
      <c r="Q9" s="66">
        <v>0.64434999999999998</v>
      </c>
      <c r="R9" s="3">
        <f t="shared" si="3"/>
        <v>99.875164999999981</v>
      </c>
      <c r="S9" s="135">
        <v>3</v>
      </c>
      <c r="T9" s="288">
        <f t="shared" ref="T9:T20" si="127">AM9</f>
        <v>0.34747939053151999</v>
      </c>
      <c r="U9" s="54">
        <f t="shared" si="4"/>
        <v>1562.6519774038588</v>
      </c>
      <c r="V9" s="54">
        <f t="shared" ca="1" si="4"/>
        <v>1541.4665029056537</v>
      </c>
      <c r="W9" s="54">
        <f t="shared" si="5"/>
        <v>1549.8100819038589</v>
      </c>
      <c r="X9" s="101">
        <f t="shared" ca="1" si="6"/>
        <v>1621.4525004837037</v>
      </c>
      <c r="Y9" s="101">
        <f t="shared" ca="1" si="7"/>
        <v>1565.0289385631534</v>
      </c>
      <c r="Z9" s="50">
        <f t="shared" ca="1" si="8"/>
        <v>1621.3319492852952</v>
      </c>
      <c r="AA9" s="50">
        <f t="shared" ca="1" si="9"/>
        <v>1600.8098858665915</v>
      </c>
      <c r="AB9" s="103">
        <f t="shared" ref="AB9:AB40" ca="1" si="128">SQRT((STDEV(X9:Z9))^2+(Z9-AA9)^2)</f>
        <v>38.472051350166367</v>
      </c>
      <c r="AC9" s="283">
        <v>13.3</v>
      </c>
      <c r="AD9" s="283">
        <f t="shared" ca="1" si="10"/>
        <v>12.045683865768851</v>
      </c>
      <c r="AE9" s="3">
        <f t="shared" ca="1" si="11"/>
        <v>114.86906773580573</v>
      </c>
      <c r="AF9" s="3">
        <f t="shared" ca="1" si="12"/>
        <v>213.68158049261336</v>
      </c>
      <c r="AG9" s="3">
        <f t="shared" ca="1" si="13"/>
        <v>537.57121915230584</v>
      </c>
      <c r="AH9" s="3">
        <f t="shared" ca="1" si="14"/>
        <v>95.48043455824417</v>
      </c>
      <c r="AI9" s="85">
        <f t="shared" ref="AI9:AI20" si="129">((3*CG9)^-2)*((1-CI9)^(7/2))*((1-CH9)^7)</f>
        <v>0.4000631728218606</v>
      </c>
      <c r="AJ9" s="85">
        <f t="shared" ca="1" si="15"/>
        <v>2.7841194744194984</v>
      </c>
      <c r="AK9" s="85">
        <f t="shared" si="16"/>
        <v>0.29167035989956974</v>
      </c>
      <c r="AL9" s="86">
        <f t="shared" ref="AL9:AL40" ca="1" si="130">(CT9/CU9)/(CJ9/CL9)</f>
        <v>0.2760168642179292</v>
      </c>
      <c r="AM9" s="85">
        <f t="shared" si="17"/>
        <v>0.34747939053151999</v>
      </c>
      <c r="AN9" s="85">
        <f t="shared" ref="AN9:AN20" ca="1" si="131">FM9</f>
        <v>0.34747939053151966</v>
      </c>
      <c r="AO9" s="123">
        <f t="shared" ca="1" si="18"/>
        <v>41.172755535403077</v>
      </c>
      <c r="AP9" s="123">
        <f t="shared" ca="1" si="19"/>
        <v>8.180552490726404</v>
      </c>
      <c r="AQ9" s="123">
        <f t="shared" ca="1" si="20"/>
        <v>50.646691973870517</v>
      </c>
      <c r="AS9" s="53">
        <f t="shared" ref="AS9:AS40" ca="1" si="132">100*(1/FK9/(1+1/FK9))</f>
        <v>79.319511061987328</v>
      </c>
      <c r="AT9" s="53">
        <f t="shared" ca="1" si="21"/>
        <v>91.692968489128077</v>
      </c>
      <c r="AU9" s="63">
        <f t="shared" ca="1" si="22"/>
        <v>0.34747939053151966</v>
      </c>
      <c r="AV9" s="53">
        <f t="shared" si="23"/>
        <v>2.3509720538674661</v>
      </c>
      <c r="AW9" s="53">
        <f t="shared" ca="1" si="24"/>
        <v>2.3805013530889778</v>
      </c>
      <c r="AX9" s="54">
        <f t="shared" si="25"/>
        <v>1603.0836577820801</v>
      </c>
      <c r="AY9" s="54">
        <f t="shared" ref="AY9:AY20" si="133">(DK9-273.15)+54*DL9-2*DL9^2</f>
        <v>1562.6519774038588</v>
      </c>
      <c r="AZ9" s="54">
        <f t="shared" ca="1" si="26"/>
        <v>1541.4665029056537</v>
      </c>
      <c r="BA9" s="34"/>
      <c r="BB9" s="63">
        <f t="shared" ca="1" si="27"/>
        <v>0.17761448373074534</v>
      </c>
      <c r="BC9" s="63">
        <f t="shared" ca="1" si="28"/>
        <v>3.8032529097318218E-2</v>
      </c>
      <c r="BD9" s="53">
        <f t="shared" si="29"/>
        <v>9.411602499999977E-2</v>
      </c>
      <c r="BE9" s="53">
        <f t="shared" ca="1" si="30"/>
        <v>0.17743570396149061</v>
      </c>
      <c r="BF9" s="53">
        <f t="shared" ca="1" si="31"/>
        <v>0.13199611076136006</v>
      </c>
      <c r="BG9"/>
      <c r="BH9" s="53">
        <f t="shared" si="32"/>
        <v>0.1117832705</v>
      </c>
      <c r="BI9" s="53">
        <f t="shared" si="33"/>
        <v>0.17779326350000005</v>
      </c>
      <c r="BJ9"/>
      <c r="BK9" s="53">
        <f t="shared" ref="BK9:BK40" si="134">GW9</f>
        <v>0.27980574793598695</v>
      </c>
      <c r="BL9" s="53">
        <f t="shared" ref="BL9:BL40" si="135">(HL9*K9-38.12*HK9)/(HL9*K9-K9*HK9)</f>
        <v>8.8979587271828836E-2</v>
      </c>
      <c r="BM9" s="53">
        <f t="shared" ref="BM9:BM40" si="136">(0.98/BL9-0.9*(LN(BL9))^2+0.07*(LN(BL9)^4))^-1</f>
        <v>0.12278865563748664</v>
      </c>
      <c r="BN9" s="53">
        <f t="shared" ref="BN9:BN40" si="137">6.2819*HD9^2-14.7789*HD9^3+0.00825*(1/HD9)^2</f>
        <v>0.29421846603113483</v>
      </c>
      <c r="BO9" s="53">
        <f t="shared" ref="BO9:BO40" si="138">HH9+HI9*HC9+HJ9/HC9</f>
        <v>0.2168492360269681</v>
      </c>
      <c r="BP9" s="53">
        <f t="shared" ref="BP9:BP40" si="139">-2.5345+5.329*(HE9+0.348*HC9)+0.3012/(HE9+0.348*HC9)</f>
        <v>0.19352724151716283</v>
      </c>
      <c r="BQ9" s="54">
        <f t="shared" ref="BQ9:BQ40" si="140">1020+24.4*K9-0.16*K9^2</f>
        <v>1427.8176080316</v>
      </c>
      <c r="BR9" s="262">
        <f t="shared" ref="BR9:BR40" si="141">(K9^-0.52)*EXP(0.13+0.15*K9)</f>
        <v>4.3152292409187689</v>
      </c>
      <c r="BS9" s="54">
        <f t="shared" ref="BS9:BS40" si="142">EXP(7.12-0.06/(BR9^4)+0.187*LN(BR9))</f>
        <v>1624.9772560087879</v>
      </c>
      <c r="BT9" s="17"/>
      <c r="BU9" s="2">
        <f t="shared" si="37"/>
        <v>0.76100615845539277</v>
      </c>
      <c r="BV9" s="2">
        <f t="shared" si="38"/>
        <v>1.61720901126408E-2</v>
      </c>
      <c r="BW9" s="2">
        <f t="shared" si="39"/>
        <v>0.21350137308748532</v>
      </c>
      <c r="BX9" s="2">
        <f t="shared" si="40"/>
        <v>0.15562720946416148</v>
      </c>
      <c r="BY9" s="2">
        <f t="shared" si="41"/>
        <v>2.5500422892585279E-3</v>
      </c>
      <c r="BZ9" s="2">
        <f t="shared" si="42"/>
        <v>0.47414516129032258</v>
      </c>
      <c r="CA9" s="2">
        <f t="shared" si="43"/>
        <v>0.17424215406562055</v>
      </c>
      <c r="CB9" s="2">
        <f t="shared" si="44"/>
        <v>4.1151984511132625E-2</v>
      </c>
      <c r="CC9" s="2">
        <f t="shared" si="45"/>
        <v>4.9065817409766456E-3</v>
      </c>
      <c r="CD9" s="2">
        <f t="shared" si="46"/>
        <v>1.2369234818080136E-3</v>
      </c>
      <c r="CE9" s="2">
        <f t="shared" si="47"/>
        <v>1.8993941101874033E-3</v>
      </c>
      <c r="CF9" s="2">
        <f t="shared" si="48"/>
        <v>1.8464390726089863</v>
      </c>
      <c r="CG9" s="2">
        <f t="shared" si="49"/>
        <v>0.41214799326148588</v>
      </c>
      <c r="CH9" s="2">
        <f t="shared" si="49"/>
        <v>8.7585289720878354E-3</v>
      </c>
      <c r="CI9" s="2">
        <f t="shared" si="49"/>
        <v>0.11562871272313989</v>
      </c>
      <c r="CJ9" s="2">
        <f t="shared" si="49"/>
        <v>8.428504994982744E-2</v>
      </c>
      <c r="CK9" s="2">
        <f t="shared" si="49"/>
        <v>1.3810595362106167E-3</v>
      </c>
      <c r="CL9" s="2">
        <f t="shared" si="49"/>
        <v>0.25678895573866062</v>
      </c>
      <c r="CM9" s="2">
        <f t="shared" si="49"/>
        <v>9.4366587368311813E-2</v>
      </c>
      <c r="CN9" s="2">
        <f t="shared" si="49"/>
        <v>2.228721495423382E-2</v>
      </c>
      <c r="CO9" s="2">
        <f t="shared" si="49"/>
        <v>2.65732122644249E-3</v>
      </c>
      <c r="CP9" s="2">
        <f t="shared" si="50"/>
        <v>6.6989672183456468E-4</v>
      </c>
      <c r="CQ9" s="2">
        <f t="shared" si="51"/>
        <v>1.0286795477651978E-3</v>
      </c>
      <c r="CS9" s="2">
        <f t="shared" ca="1" si="52"/>
        <v>0.6852988604427942</v>
      </c>
      <c r="CT9" s="2">
        <f t="shared" ca="1" si="53"/>
        <v>0.11385598456125824</v>
      </c>
      <c r="CU9" s="2">
        <f t="shared" ca="1" si="54"/>
        <v>1.2567417363243305</v>
      </c>
      <c r="CV9" s="2">
        <f t="shared" ca="1" si="55"/>
        <v>2.0558965813283829</v>
      </c>
      <c r="CW9" s="2">
        <f t="shared" ca="1" si="56"/>
        <v>0.33333333333333326</v>
      </c>
      <c r="CX9" s="2">
        <f t="shared" ca="1" si="57"/>
        <v>5.538021007247948E-2</v>
      </c>
      <c r="CY9" s="2">
        <f t="shared" ca="1" si="58"/>
        <v>0.61128645659418723</v>
      </c>
      <c r="CZ9" s="2">
        <f t="shared" si="59"/>
        <v>0.43682165259301048</v>
      </c>
      <c r="DA9" s="2">
        <f t="shared" si="60"/>
        <v>0.41214799326148588</v>
      </c>
      <c r="DB9" s="2">
        <f t="shared" si="61"/>
        <v>-0.49165380932649055</v>
      </c>
      <c r="DD9" s="2">
        <f t="shared" si="62"/>
        <v>1603.0836577820801</v>
      </c>
      <c r="DE9" s="2">
        <f t="shared" si="63"/>
        <v>15085.825675935726</v>
      </c>
      <c r="DF9" s="2">
        <f t="shared" si="64"/>
        <v>8.0404834511757315</v>
      </c>
      <c r="DG9" s="2">
        <f t="shared" si="65"/>
        <v>1691.8019774038587</v>
      </c>
      <c r="DH9" s="2">
        <f t="shared" si="66"/>
        <v>1418.6519774038588</v>
      </c>
      <c r="DI9" s="2">
        <f t="shared" ref="DI9:DI40" si="143">113.1*1000/8.3144+(0.0001*10^9-10^5)*4.11*(10^-6)/8.3144</f>
        <v>13602.905801982104</v>
      </c>
      <c r="DJ9" s="2">
        <f t="shared" si="67"/>
        <v>8.0404834511757315</v>
      </c>
      <c r="DK9" s="2">
        <f t="shared" si="68"/>
        <v>1691.8019774038587</v>
      </c>
      <c r="DL9" s="2">
        <f t="shared" si="69"/>
        <v>3</v>
      </c>
      <c r="DM9" s="2">
        <f t="shared" si="70"/>
        <v>-0.49165380932649055</v>
      </c>
      <c r="DN9" s="2">
        <f t="shared" si="71"/>
        <v>0.43682165259301048</v>
      </c>
      <c r="DO9" s="2">
        <f t="shared" si="72"/>
        <v>0.41214799326148588</v>
      </c>
      <c r="DP9" s="2">
        <f t="shared" si="73"/>
        <v>2.3509720538674661</v>
      </c>
      <c r="DQ9" s="2">
        <f t="shared" si="74"/>
        <v>15085.899999999994</v>
      </c>
      <c r="DR9" s="2">
        <f t="shared" si="75"/>
        <v>8.0402602240035961</v>
      </c>
      <c r="DS9" s="2">
        <f t="shared" si="76"/>
        <v>1603.1449929110713</v>
      </c>
      <c r="DT9" s="2">
        <f t="shared" si="77"/>
        <v>1418.7168116473531</v>
      </c>
      <c r="DU9" s="2">
        <f t="shared" si="78"/>
        <v>1562.7168116473531</v>
      </c>
      <c r="DV9" s="9">
        <f t="shared" ca="1" si="79"/>
        <v>2.3805013530889778</v>
      </c>
      <c r="DW9" s="2">
        <f t="shared" ca="1" si="80"/>
        <v>2.9882922235576426</v>
      </c>
      <c r="DX9" s="2">
        <f t="shared" si="81"/>
        <v>4595.2700000000004</v>
      </c>
      <c r="DY9" s="2">
        <f t="shared" ref="DY9:DY20" ca="1" si="144">DX9/DW9</f>
        <v>1537.7579086054734</v>
      </c>
      <c r="DZ9" s="2">
        <f t="shared" ca="1" si="82"/>
        <v>3.7080180355606238</v>
      </c>
      <c r="EB9" s="2">
        <f t="shared" si="83"/>
        <v>0.76100615845539277</v>
      </c>
      <c r="EC9" s="2">
        <f t="shared" si="84"/>
        <v>1.61720901126408E-2</v>
      </c>
      <c r="ED9" s="2">
        <f t="shared" si="85"/>
        <v>0.10675068654374266</v>
      </c>
      <c r="EE9" s="2">
        <f t="shared" si="86"/>
        <v>0.15562720946416148</v>
      </c>
      <c r="EF9" s="2">
        <f t="shared" si="87"/>
        <v>2.5500422892585279E-3</v>
      </c>
      <c r="EG9" s="2">
        <f t="shared" si="88"/>
        <v>0.47414516129032258</v>
      </c>
      <c r="EH9" s="2">
        <f t="shared" si="89"/>
        <v>0.17424215406562055</v>
      </c>
      <c r="EI9" s="2">
        <f t="shared" si="90"/>
        <v>2.0575992255566312E-2</v>
      </c>
      <c r="EJ9" s="2">
        <f t="shared" si="91"/>
        <v>2.4532908704883228E-3</v>
      </c>
      <c r="EK9" s="2">
        <f t="shared" si="92"/>
        <v>6.1846174090400682E-4</v>
      </c>
      <c r="EL9" s="2">
        <f t="shared" si="93"/>
        <v>9.4969705509370163E-4</v>
      </c>
      <c r="EM9" s="2">
        <f t="shared" si="94"/>
        <v>1.7150909441431916</v>
      </c>
      <c r="EN9" s="2">
        <f t="shared" si="95"/>
        <v>0.44371183991970103</v>
      </c>
      <c r="EO9" s="2">
        <f t="shared" si="95"/>
        <v>9.4292901305708283E-3</v>
      </c>
      <c r="EP9" s="2">
        <f t="shared" si="95"/>
        <v>6.2241997666818843E-2</v>
      </c>
      <c r="EQ9" s="2">
        <f t="shared" si="95"/>
        <v>9.0739916734799267E-2</v>
      </c>
      <c r="ER9" s="2">
        <f t="shared" si="95"/>
        <v>1.4868262805343266E-3</v>
      </c>
      <c r="ES9" s="2">
        <f t="shared" si="95"/>
        <v>0.27645482177459191</v>
      </c>
      <c r="ET9" s="2">
        <f t="shared" si="95"/>
        <v>0.10159353628484508</v>
      </c>
      <c r="EU9" s="2">
        <f t="shared" si="95"/>
        <v>1.1997026936577679E-2</v>
      </c>
      <c r="EV9" s="2">
        <f t="shared" si="95"/>
        <v>1.4304144505374401E-3</v>
      </c>
      <c r="EW9" s="2">
        <f t="shared" si="95"/>
        <v>3.6059996877481728E-4</v>
      </c>
      <c r="EX9" s="2">
        <f t="shared" si="95"/>
        <v>5.5372985224882174E-4</v>
      </c>
      <c r="EY9" s="2">
        <f t="shared" si="96"/>
        <v>1.0000000000000002</v>
      </c>
      <c r="EZ9" s="2">
        <f t="shared" si="97"/>
        <v>0.11562871272313989</v>
      </c>
      <c r="FA9" s="2">
        <f t="shared" si="98"/>
        <v>0.53653523495671362</v>
      </c>
      <c r="FB9" s="2">
        <f t="shared" si="99"/>
        <v>1.4681265781873705</v>
      </c>
      <c r="FC9" s="2">
        <f t="shared" si="100"/>
        <v>0.79011221654788644</v>
      </c>
      <c r="FD9" s="2">
        <f t="shared" si="101"/>
        <v>1.4726194387058862</v>
      </c>
      <c r="FE9" s="2">
        <f t="shared" ca="1" si="102"/>
        <v>0.12945318851453788</v>
      </c>
      <c r="FF9" s="2">
        <f t="shared" ca="1" si="103"/>
        <v>0.12945318851453788</v>
      </c>
      <c r="FG9" s="2">
        <f t="shared" ca="1" si="104"/>
        <v>0.16796515190631078</v>
      </c>
      <c r="FH9" s="2">
        <f t="shared" ca="1" si="105"/>
        <v>-3.2342396010358301</v>
      </c>
      <c r="FI9" s="2">
        <f t="shared" ca="1" si="106"/>
        <v>9.3307745208062766E-3</v>
      </c>
      <c r="FJ9" s="2">
        <f t="shared" ca="1" si="107"/>
        <v>7.2078367693186707E-2</v>
      </c>
      <c r="FK9" s="2">
        <f t="shared" ca="1" si="108"/>
        <v>0.26072385799064113</v>
      </c>
      <c r="FL9" s="2">
        <f t="shared" ca="1" si="109"/>
        <v>9.0596167271614458E-2</v>
      </c>
      <c r="FM9" s="2">
        <f t="shared" ref="FM9:FM20" ca="1" si="145">FL9/FK9</f>
        <v>0.34747939053151966</v>
      </c>
      <c r="FN9" s="2">
        <f t="shared" ref="FN9:FN20" ca="1" si="146">FQ9/FP9</f>
        <v>9.0596167271614458E-2</v>
      </c>
      <c r="FO9" s="2">
        <f t="shared" ca="1" si="110"/>
        <v>9.0596167271614542E-2</v>
      </c>
      <c r="FP9" s="2">
        <f t="shared" ref="FP9:FP20" ca="1" si="147">2/(1+FO9)</f>
        <v>1.8338593697825616</v>
      </c>
      <c r="FQ9" s="2">
        <f t="shared" ca="1" si="111"/>
        <v>0.16614063021743841</v>
      </c>
      <c r="FR9" s="2">
        <f t="shared" ref="FR9:FR40" si="148">1/3</f>
        <v>0.33333333333333331</v>
      </c>
      <c r="FS9" s="2">
        <f t="shared" ca="1" si="112"/>
        <v>5.5380210072479473E-2</v>
      </c>
      <c r="FT9" s="2">
        <f t="shared" ca="1" si="113"/>
        <v>0.61128645659418723</v>
      </c>
      <c r="FU9" s="2">
        <f t="shared" si="114"/>
        <v>20.026666666666664</v>
      </c>
      <c r="FV9" s="2">
        <f t="shared" ca="1" si="115"/>
        <v>3.9790680937076499</v>
      </c>
      <c r="FW9" s="2">
        <f t="shared" ca="1" si="116"/>
        <v>24.634844200745743</v>
      </c>
      <c r="FX9" s="2">
        <f t="shared" ca="1" si="117"/>
        <v>48.640578961120056</v>
      </c>
      <c r="FY9" s="2">
        <f t="shared" ca="1" si="118"/>
        <v>41.172755535403077</v>
      </c>
      <c r="FZ9" s="2">
        <f t="shared" ca="1" si="118"/>
        <v>8.180552490726404</v>
      </c>
      <c r="GA9" s="2">
        <f t="shared" ca="1" si="118"/>
        <v>50.646691973870517</v>
      </c>
      <c r="GB9" s="2">
        <f t="shared" ca="1" si="119"/>
        <v>91.692968489128091</v>
      </c>
      <c r="GC9" s="2">
        <f t="shared" si="120"/>
        <v>3000000000</v>
      </c>
      <c r="GD9" s="2">
        <f t="shared" ref="GD9:GD40" si="149">$BK$5</f>
        <v>38</v>
      </c>
      <c r="GE9">
        <f t="shared" ref="GE9:GE40" si="150">-5.1404654*S9^2+132.899012*S9+1120.66061</f>
        <v>1473.0934573999998</v>
      </c>
      <c r="GF9">
        <f t="shared" ref="GF9:GF40" si="151">1120+132.9*S9-5.104*S9^2</f>
        <v>1472.7640000000001</v>
      </c>
      <c r="GG9">
        <f t="shared" ref="GG9:GG40" si="152">1070+14.93*GD9+72.23*S9-3.249*S9^2</f>
        <v>1824.7890000000002</v>
      </c>
      <c r="GH9" s="2">
        <f t="shared" ref="GH9:GH40" si="153">(U9-GF9)/(GG9-GF9)</f>
        <v>0.25534543684073202</v>
      </c>
      <c r="GI9" s="2">
        <f t="shared" ref="GI9:GI40" si="154">2.195-0.302*S9</f>
        <v>1.2889999999999999</v>
      </c>
      <c r="GJ9" s="2">
        <f t="shared" ref="GJ9:GJ40" si="155">-3.474+0.572*S9</f>
        <v>-1.7580000000000005</v>
      </c>
      <c r="GK9" s="2">
        <f t="shared" ref="GK9:GK40" si="156">2.288-0.271*S9</f>
        <v>1.4749999999999996</v>
      </c>
      <c r="GL9" s="2">
        <f t="shared" ref="GL9:GL40" si="157">-GH9</f>
        <v>-0.25534543684073202</v>
      </c>
      <c r="GM9">
        <f t="shared" ref="GM9:GM40" si="158">-GJ9/(3*GK9)</f>
        <v>0.39728813559322051</v>
      </c>
      <c r="GN9">
        <f t="shared" ref="GN9:GN40" si="159">(-GJ9^3)/(27*(GK9^3))</f>
        <v>6.2707110191402335E-2</v>
      </c>
      <c r="GO9">
        <f t="shared" ref="GO9:GO40" si="160">(GJ9*GI9)/(6*(GK9^2))</f>
        <v>-0.17359471416259706</v>
      </c>
      <c r="GP9">
        <f t="shared" ref="GP9:GP40" si="161">GL9/(2*GK9)</f>
        <v>-8.6557775200248169E-2</v>
      </c>
      <c r="GQ9">
        <f t="shared" ref="GQ9:GQ40" si="162">GI9/(3*GK9)</f>
        <v>0.29129943502824862</v>
      </c>
      <c r="GR9">
        <f t="shared" ref="GR9:GR40" si="163">(GJ9^2)/(9*(GK9^2))</f>
        <v>0.15783786268313718</v>
      </c>
      <c r="GS9">
        <f t="shared" ref="GS9:GS40" si="164">GN9+GO9-GP9</f>
        <v>-2.4329828770946554E-2</v>
      </c>
      <c r="GT9">
        <f t="shared" ref="GT9:GT40" si="165">(GQ9-GR9)^3</f>
        <v>2.3772163645384482E-3</v>
      </c>
      <c r="GU9">
        <f t="shared" ref="GU9:GU40" si="166">(GS9+SQRT(GS9^2+GT9))^(1/3)</f>
        <v>0.31127515742835477</v>
      </c>
      <c r="GV9">
        <f t="shared" ref="GV9:GV40" si="167">(GS9-(SQRT(GS9^2+GT9)))^(1/3)</f>
        <v>-0.42875754508558833</v>
      </c>
      <c r="GW9">
        <f t="shared" ref="GW9:GW40" si="168">GU9+GV9+GM9</f>
        <v>0.27980574793598695</v>
      </c>
      <c r="GY9" s="15">
        <f t="shared" ref="GY9:GY40" si="169">1.5*EO9+0.5*(EP9+EW9+EQ9+ER9+ES9)-0.5*(ET9+EU9)+3*EV9</f>
        <v>0.17728197814951677</v>
      </c>
      <c r="GZ9" s="2">
        <f t="shared" ref="GZ9:GZ40" si="170">EO9+EP9+EW9</f>
        <v>7.2031887766164482E-2</v>
      </c>
      <c r="HA9" s="2">
        <f t="shared" ref="HA9:HA40" si="171">EN9-0.5*(EP9+EW9+EQ9+ER9+ES9)-1.5*ET9-3*EU9</f>
        <v>3.9688373469940808E-2</v>
      </c>
      <c r="HB9" s="2">
        <f t="shared" ref="HB9:HB40" si="172">SUM(GY9:HA9)</f>
        <v>0.28900223938562208</v>
      </c>
      <c r="HC9" s="2">
        <f t="shared" ref="HC9:HC40" si="173">GY9/$HB9</f>
        <v>0.61342769705312039</v>
      </c>
      <c r="HD9" s="2">
        <f t="shared" ref="HD9:HD40" si="174">GZ9/$HB9</f>
        <v>0.24924335506636244</v>
      </c>
      <c r="HE9" s="2">
        <f t="shared" ref="HE9:HE40" si="175">HA9/$HB9</f>
        <v>0.13732894788051705</v>
      </c>
      <c r="HF9" s="2">
        <f t="shared" ref="HF9:HF40" si="176">-1.994+2.25*HE9+0.041/HE9</f>
        <v>-1.3864566442755897</v>
      </c>
      <c r="HG9" s="2">
        <f t="shared" ref="HG9:HG40" si="177">-1.183-3.005*HE9+13.774*HE9^2-12.615*HE9^3</f>
        <v>-1.368578153102731</v>
      </c>
      <c r="HH9" s="2">
        <f t="shared" ref="HH9:HH40" si="178">(HF9+HG9)/2</f>
        <v>-1.3775173986891605</v>
      </c>
      <c r="HI9" s="2">
        <f t="shared" ref="HI9:HI40" si="179">(HE9^0.245)*EXP(0.931+1.623*HE9)</f>
        <v>1.9492949151968675</v>
      </c>
      <c r="HJ9" s="2">
        <f t="shared" ref="HJ9:HJ40" si="180">(HE9^0.577)*EXP(0.769-7.514*HE9)</f>
        <v>0.2445215698002802</v>
      </c>
      <c r="HK9" s="2">
        <f t="shared" ref="HK9:HK40" si="181">0.3813-0.7896/K9+1.0389/(K9^2)</f>
        <v>0.34282248686577377</v>
      </c>
      <c r="HL9" s="2">
        <f t="shared" ref="HL9:HL40" si="182">$BL$5/I9</f>
        <v>0.71723597644926151</v>
      </c>
    </row>
    <row r="10" spans="1:220" s="2" customFormat="1" ht="20.25">
      <c r="A10" s="98" t="s">
        <v>157</v>
      </c>
      <c r="B10" s="81">
        <v>65</v>
      </c>
      <c r="C10" s="94">
        <f t="shared" si="126"/>
        <v>-3.5307865657257853</v>
      </c>
      <c r="D10" s="57">
        <f t="shared" si="1"/>
        <v>-3.3649230099205063</v>
      </c>
      <c r="E10" s="58">
        <f t="shared" si="2"/>
        <v>-3.5307865657257853</v>
      </c>
      <c r="F10" s="65">
        <v>46.288333333333327</v>
      </c>
      <c r="G10" s="65">
        <v>1.2908333333333333</v>
      </c>
      <c r="H10" s="65">
        <v>9.2111666666666654</v>
      </c>
      <c r="I10" s="65">
        <v>11.305550000000002</v>
      </c>
      <c r="J10" s="65">
        <v>0.13400000000000001</v>
      </c>
      <c r="K10" s="65">
        <v>20.848833333333335</v>
      </c>
      <c r="L10" s="65">
        <v>8.7841666666666676</v>
      </c>
      <c r="M10" s="65">
        <v>1.3198333333333334</v>
      </c>
      <c r="N10" s="65">
        <v>0.39416666666666661</v>
      </c>
      <c r="O10" s="66">
        <v>4.2666666666666665E-2</v>
      </c>
      <c r="P10" s="66">
        <v>0.18000000000000002</v>
      </c>
      <c r="Q10" s="66">
        <v>0.63950000000000007</v>
      </c>
      <c r="R10" s="3">
        <f t="shared" si="3"/>
        <v>99.799549999999982</v>
      </c>
      <c r="S10" s="135">
        <v>3</v>
      </c>
      <c r="T10" s="288">
        <f t="shared" si="127"/>
        <v>0.34865441338533332</v>
      </c>
      <c r="U10" s="54">
        <f t="shared" si="4"/>
        <v>1595.0887954339009</v>
      </c>
      <c r="V10" s="54">
        <f t="shared" ca="1" si="4"/>
        <v>1571.5855123762794</v>
      </c>
      <c r="W10" s="54">
        <f t="shared" si="5"/>
        <v>1582.3435604339008</v>
      </c>
      <c r="X10" s="101">
        <f t="shared" ca="1" si="6"/>
        <v>1701.601056738946</v>
      </c>
      <c r="Y10" s="101">
        <f t="shared" ca="1" si="7"/>
        <v>1641.9256505896126</v>
      </c>
      <c r="Z10" s="50">
        <f t="shared" ca="1" si="8"/>
        <v>1692.2938075408747</v>
      </c>
      <c r="AA10" s="50">
        <f t="shared" ca="1" si="9"/>
        <v>1664.9572937331463</v>
      </c>
      <c r="AB10" s="103">
        <f t="shared" ca="1" si="128"/>
        <v>42.167207132934095</v>
      </c>
      <c r="AC10" s="283">
        <v>13.3</v>
      </c>
      <c r="AD10" s="283">
        <f t="shared" ca="1" si="10"/>
        <v>12.268381275881234</v>
      </c>
      <c r="AE10" s="3">
        <f t="shared" ca="1" si="11"/>
        <v>116.90535513882723</v>
      </c>
      <c r="AF10" s="3">
        <f t="shared" ca="1" si="12"/>
        <v>213.90217906945622</v>
      </c>
      <c r="AG10" s="3">
        <f t="shared" ca="1" si="13"/>
        <v>546.53653201385509</v>
      </c>
      <c r="AH10" s="3">
        <f t="shared" ca="1" si="14"/>
        <v>130.17692518451062</v>
      </c>
      <c r="AI10" s="85">
        <f t="shared" si="129"/>
        <v>0.42300313784680627</v>
      </c>
      <c r="AJ10" s="85">
        <f t="shared" ca="1" si="15"/>
        <v>2.938238415077854</v>
      </c>
      <c r="AK10" s="85">
        <f t="shared" si="16"/>
        <v>0.28838196464176608</v>
      </c>
      <c r="AL10" s="86">
        <f t="shared" ca="1" si="130"/>
        <v>0.27541505427028867</v>
      </c>
      <c r="AM10" s="85">
        <f t="shared" si="17"/>
        <v>0.34865441338533332</v>
      </c>
      <c r="AN10" s="85">
        <f t="shared" ca="1" si="131"/>
        <v>0.34865441338533343</v>
      </c>
      <c r="AO10" s="123">
        <f t="shared" ca="1" si="18"/>
        <v>41.275874231358067</v>
      </c>
      <c r="AP10" s="123">
        <f t="shared" ca="1" si="19"/>
        <v>7.6306733354858407</v>
      </c>
      <c r="AQ10" s="123">
        <f t="shared" ca="1" si="20"/>
        <v>51.093452433156088</v>
      </c>
      <c r="AS10" s="53">
        <f t="shared" ca="1" si="132"/>
        <v>80.628282460788739</v>
      </c>
      <c r="AT10" s="53">
        <f t="shared" ca="1" si="21"/>
        <v>92.270707592256585</v>
      </c>
      <c r="AU10" s="63">
        <f t="shared" ca="1" si="22"/>
        <v>0.34865441338533343</v>
      </c>
      <c r="AV10" s="53">
        <f t="shared" si="23"/>
        <v>2.1791924131522142</v>
      </c>
      <c r="AW10" s="53">
        <f t="shared" ca="1" si="24"/>
        <v>2.2051351838501758</v>
      </c>
      <c r="AX10" s="54">
        <f t="shared" si="25"/>
        <v>1639.0565733786848</v>
      </c>
      <c r="AY10" s="54">
        <f t="shared" si="133"/>
        <v>1595.0887954339009</v>
      </c>
      <c r="AZ10" s="54">
        <f t="shared" ca="1" si="26"/>
        <v>1571.5855123762794</v>
      </c>
      <c r="BA10" s="34"/>
      <c r="BB10" s="63">
        <f t="shared" ca="1" si="27"/>
        <v>0.23818522195550243</v>
      </c>
      <c r="BC10" s="63">
        <f t="shared" ca="1" si="28"/>
        <v>3.4249974507808478E-2</v>
      </c>
      <c r="BD10" s="53">
        <f t="shared" si="29"/>
        <v>0.16348826666666647</v>
      </c>
      <c r="BE10" s="53">
        <f t="shared" ca="1" si="30"/>
        <v>0.22438239057767156</v>
      </c>
      <c r="BF10" s="53">
        <f t="shared" ca="1" si="31"/>
        <v>0.19018132354177616</v>
      </c>
      <c r="BG10"/>
      <c r="BH10" s="53">
        <f t="shared" si="32"/>
        <v>0.19205555166666663</v>
      </c>
      <c r="BI10" s="53">
        <f t="shared" si="33"/>
        <v>0.2519880533333333</v>
      </c>
      <c r="BJ10"/>
      <c r="BK10" s="53">
        <f t="shared" si="134"/>
        <v>0.43167965599768099</v>
      </c>
      <c r="BL10" s="53">
        <f t="shared" si="135"/>
        <v>0.21204687110484324</v>
      </c>
      <c r="BM10" s="53">
        <f t="shared" si="136"/>
        <v>0.34943605695435337</v>
      </c>
      <c r="BN10" s="53">
        <f t="shared" si="137"/>
        <v>0.33553862268539553</v>
      </c>
      <c r="BO10" s="53">
        <f t="shared" si="138"/>
        <v>0.33406496084511972</v>
      </c>
      <c r="BP10" s="53">
        <f t="shared" si="139"/>
        <v>0.30422615014906762</v>
      </c>
      <c r="BQ10" s="54">
        <f t="shared" si="140"/>
        <v>1459.1637171155555</v>
      </c>
      <c r="BR10" s="262">
        <f t="shared" si="141"/>
        <v>5.354460995772012</v>
      </c>
      <c r="BS10" s="54">
        <f t="shared" si="142"/>
        <v>1692.0564866191162</v>
      </c>
      <c r="BT10" s="17"/>
      <c r="BU10" s="2">
        <f t="shared" si="37"/>
        <v>0.77044496227252546</v>
      </c>
      <c r="BV10" s="2">
        <f t="shared" si="38"/>
        <v>1.6155611180642467E-2</v>
      </c>
      <c r="BW10" s="2">
        <f t="shared" si="39"/>
        <v>0.18068196678435985</v>
      </c>
      <c r="BX10" s="2">
        <f t="shared" si="40"/>
        <v>0.15734933890048716</v>
      </c>
      <c r="BY10" s="2">
        <f t="shared" si="41"/>
        <v>1.8889202142655767E-3</v>
      </c>
      <c r="BZ10" s="2">
        <f t="shared" si="42"/>
        <v>0.51734077750206786</v>
      </c>
      <c r="CA10" s="2">
        <f t="shared" si="43"/>
        <v>0.1566363528292915</v>
      </c>
      <c r="CB10" s="2">
        <f t="shared" si="44"/>
        <v>4.2589007206625798E-2</v>
      </c>
      <c r="CC10" s="2">
        <f t="shared" si="45"/>
        <v>8.3687190375088451E-3</v>
      </c>
      <c r="CD10" s="2">
        <f t="shared" si="46"/>
        <v>5.6144044564335367E-4</v>
      </c>
      <c r="CE10" s="2">
        <f t="shared" si="47"/>
        <v>2.5362829364520222E-3</v>
      </c>
      <c r="CF10" s="2">
        <f t="shared" si="48"/>
        <v>1.8545533793098699</v>
      </c>
      <c r="CG10" s="2">
        <f t="shared" si="49"/>
        <v>0.41543423385269673</v>
      </c>
      <c r="CH10" s="2">
        <f t="shared" si="49"/>
        <v>8.7113217451063128E-3</v>
      </c>
      <c r="CI10" s="2">
        <f t="shared" si="49"/>
        <v>9.7426134399861045E-2</v>
      </c>
      <c r="CJ10" s="2">
        <f t="shared" si="49"/>
        <v>8.4844869204595857E-2</v>
      </c>
      <c r="CK10" s="2">
        <f t="shared" si="49"/>
        <v>1.0185310573096018E-3</v>
      </c>
      <c r="CL10" s="2">
        <f t="shared" si="49"/>
        <v>0.27895707035112927</v>
      </c>
      <c r="CM10" s="2">
        <f t="shared" si="49"/>
        <v>8.4460417573734209E-2</v>
      </c>
      <c r="CN10" s="2">
        <f t="shared" si="49"/>
        <v>2.2964562617482778E-2</v>
      </c>
      <c r="CO10" s="2">
        <f t="shared" si="49"/>
        <v>4.5125252963185538E-3</v>
      </c>
      <c r="CP10" s="2">
        <f t="shared" si="50"/>
        <v>3.027362015604431E-4</v>
      </c>
      <c r="CQ10" s="2">
        <f t="shared" si="51"/>
        <v>1.3675977002052335E-3</v>
      </c>
      <c r="CS10" s="2">
        <f t="shared" ca="1" si="52"/>
        <v>0.68701521690010103</v>
      </c>
      <c r="CT10" s="2">
        <f t="shared" ca="1" si="53"/>
        <v>0.10620282999980295</v>
      </c>
      <c r="CU10" s="2">
        <f t="shared" ca="1" si="54"/>
        <v>1.2678276038003993</v>
      </c>
      <c r="CV10" s="2">
        <f t="shared" ca="1" si="55"/>
        <v>2.0610456507003034</v>
      </c>
      <c r="CW10" s="2">
        <f t="shared" ca="1" si="56"/>
        <v>0.33333333333333326</v>
      </c>
      <c r="CX10" s="2">
        <f t="shared" ca="1" si="57"/>
        <v>5.1528616051622768E-2</v>
      </c>
      <c r="CY10" s="2">
        <f t="shared" ca="1" si="58"/>
        <v>0.6151380506150439</v>
      </c>
      <c r="CZ10" s="2">
        <f t="shared" si="59"/>
        <v>0.44928088818676898</v>
      </c>
      <c r="DA10" s="2">
        <f t="shared" si="60"/>
        <v>0.41543423385269673</v>
      </c>
      <c r="DB10" s="2">
        <f t="shared" si="61"/>
        <v>-0.42001302286461917</v>
      </c>
      <c r="DD10" s="2">
        <f t="shared" si="62"/>
        <v>1639.0565733786848</v>
      </c>
      <c r="DE10" s="2">
        <f t="shared" si="63"/>
        <v>15085.825675935726</v>
      </c>
      <c r="DF10" s="2">
        <f t="shared" si="64"/>
        <v>7.8892238348917116</v>
      </c>
      <c r="DG10" s="2">
        <f t="shared" si="65"/>
        <v>1724.2387954339008</v>
      </c>
      <c r="DH10" s="2">
        <f t="shared" si="66"/>
        <v>1451.0887954339009</v>
      </c>
      <c r="DI10" s="2">
        <f t="shared" si="143"/>
        <v>13602.905801982104</v>
      </c>
      <c r="DJ10" s="2">
        <f t="shared" si="67"/>
        <v>7.8892238348917116</v>
      </c>
      <c r="DK10" s="2">
        <f t="shared" si="68"/>
        <v>1724.2387954339008</v>
      </c>
      <c r="DL10" s="2">
        <f t="shared" si="69"/>
        <v>3</v>
      </c>
      <c r="DM10" s="2">
        <f t="shared" si="70"/>
        <v>-0.42001302286461917</v>
      </c>
      <c r="DN10" s="2">
        <f t="shared" si="71"/>
        <v>0.44928088818676892</v>
      </c>
      <c r="DO10" s="2">
        <f t="shared" si="72"/>
        <v>0.41543423385269673</v>
      </c>
      <c r="DP10" s="2">
        <f t="shared" si="73"/>
        <v>2.1791924131522142</v>
      </c>
      <c r="DQ10" s="2">
        <f t="shared" si="74"/>
        <v>15085.899999999994</v>
      </c>
      <c r="DR10" s="2">
        <f t="shared" si="75"/>
        <v>7.8890006077195753</v>
      </c>
      <c r="DS10" s="2">
        <f t="shared" si="76"/>
        <v>1639.1201024053771</v>
      </c>
      <c r="DT10" s="2">
        <f t="shared" si="77"/>
        <v>1451.155790607886</v>
      </c>
      <c r="DU10" s="2">
        <f t="shared" si="78"/>
        <v>1595.155790607886</v>
      </c>
      <c r="DV10" s="9">
        <f t="shared" ca="1" si="79"/>
        <v>2.2051351838501758</v>
      </c>
      <c r="DW10" s="2">
        <f t="shared" ca="1" si="80"/>
        <v>2.900849849888119</v>
      </c>
      <c r="DX10" s="2">
        <f t="shared" si="81"/>
        <v>4595.2700000000004</v>
      </c>
      <c r="DY10" s="2">
        <f t="shared" ca="1" si="144"/>
        <v>1584.1116354840747</v>
      </c>
      <c r="DZ10" s="2">
        <f t="shared" ca="1" si="82"/>
        <v>3.4212442286781362</v>
      </c>
      <c r="EB10" s="2">
        <f t="shared" si="83"/>
        <v>0.77044496227252546</v>
      </c>
      <c r="EC10" s="2">
        <f t="shared" si="84"/>
        <v>1.6155611180642467E-2</v>
      </c>
      <c r="ED10" s="2">
        <f t="shared" si="85"/>
        <v>9.0340983392179927E-2</v>
      </c>
      <c r="EE10" s="2">
        <f t="shared" si="86"/>
        <v>0.15734933890048716</v>
      </c>
      <c r="EF10" s="2">
        <f t="shared" si="87"/>
        <v>1.8889202142655767E-3</v>
      </c>
      <c r="EG10" s="2">
        <f t="shared" si="88"/>
        <v>0.51734077750206786</v>
      </c>
      <c r="EH10" s="2">
        <f t="shared" si="89"/>
        <v>0.1566363528292915</v>
      </c>
      <c r="EI10" s="2">
        <f t="shared" si="90"/>
        <v>2.1294503603312899E-2</v>
      </c>
      <c r="EJ10" s="2">
        <f t="shared" si="91"/>
        <v>4.1843595187544226E-3</v>
      </c>
      <c r="EK10" s="2">
        <f t="shared" si="92"/>
        <v>2.8072022282167684E-4</v>
      </c>
      <c r="EL10" s="2">
        <f t="shared" si="93"/>
        <v>1.2681414682260111E-3</v>
      </c>
      <c r="EM10" s="2">
        <f t="shared" si="94"/>
        <v>1.7371846711045753</v>
      </c>
      <c r="EN10" s="2">
        <f t="shared" si="95"/>
        <v>0.44350204965983497</v>
      </c>
      <c r="EO10" s="2">
        <f t="shared" si="95"/>
        <v>9.2998812672978794E-3</v>
      </c>
      <c r="EP10" s="2">
        <f t="shared" si="95"/>
        <v>5.2004248537800717E-2</v>
      </c>
      <c r="EQ10" s="2">
        <f t="shared" si="95"/>
        <v>9.0577208927613784E-2</v>
      </c>
      <c r="ER10" s="2">
        <f t="shared" si="95"/>
        <v>1.0873456608758362E-3</v>
      </c>
      <c r="ES10" s="2">
        <f t="shared" si="95"/>
        <v>0.2978041345328708</v>
      </c>
      <c r="ET10" s="2">
        <f t="shared" si="95"/>
        <v>9.0166782746071261E-2</v>
      </c>
      <c r="EU10" s="2">
        <f t="shared" si="95"/>
        <v>1.225805405580338E-2</v>
      </c>
      <c r="EV10" s="2">
        <f t="shared" si="95"/>
        <v>2.4087016126465299E-3</v>
      </c>
      <c r="EW10" s="2">
        <f t="shared" si="95"/>
        <v>1.6159492280298736E-4</v>
      </c>
      <c r="EX10" s="2">
        <f t="shared" si="95"/>
        <v>7.2999807638163955E-4</v>
      </c>
      <c r="EY10" s="2">
        <f t="shared" si="96"/>
        <v>0.99999999999999978</v>
      </c>
      <c r="EZ10" s="2">
        <f t="shared" si="97"/>
        <v>9.7426134399861045E-2</v>
      </c>
      <c r="FA10" s="2">
        <f t="shared" si="98"/>
        <v>0.52157168999766412</v>
      </c>
      <c r="FB10" s="2">
        <f t="shared" si="99"/>
        <v>1.4613228434919212</v>
      </c>
      <c r="FC10" s="2">
        <f t="shared" si="100"/>
        <v>0.83635892699318592</v>
      </c>
      <c r="FD10" s="2">
        <f t="shared" si="101"/>
        <v>1.6035358955102252</v>
      </c>
      <c r="FE10" s="2">
        <f t="shared" ca="1" si="102"/>
        <v>0.13296179344497408</v>
      </c>
      <c r="FF10" s="2">
        <f t="shared" ca="1" si="103"/>
        <v>0.13296179344497402</v>
      </c>
      <c r="FG10" s="2">
        <f t="shared" ca="1" si="104"/>
        <v>0.1766622726875236</v>
      </c>
      <c r="FH10" s="2">
        <f t="shared" ca="1" si="105"/>
        <v>-2.8424109048220689</v>
      </c>
      <c r="FI10" s="2">
        <f t="shared" ca="1" si="106"/>
        <v>9.5134558428151168E-3</v>
      </c>
      <c r="FJ10" s="2">
        <f t="shared" ca="1" si="107"/>
        <v>7.1550297241983557E-2</v>
      </c>
      <c r="FK10" s="2">
        <f t="shared" ca="1" si="108"/>
        <v>0.24025958321302632</v>
      </c>
      <c r="FL10" s="2">
        <f t="shared" ca="1" si="109"/>
        <v>8.3767564045342399E-2</v>
      </c>
      <c r="FM10" s="2">
        <f t="shared" ca="1" si="145"/>
        <v>0.34865441338533343</v>
      </c>
      <c r="FN10" s="2">
        <f t="shared" ca="1" si="146"/>
        <v>8.3767564045342413E-2</v>
      </c>
      <c r="FO10" s="2">
        <f t="shared" ca="1" si="110"/>
        <v>8.3767564045342371E-2</v>
      </c>
      <c r="FP10" s="2">
        <f t="shared" ca="1" si="147"/>
        <v>1.8454141518451317</v>
      </c>
      <c r="FQ10" s="2">
        <f t="shared" ca="1" si="111"/>
        <v>0.15458584815486831</v>
      </c>
      <c r="FR10" s="2">
        <f t="shared" si="148"/>
        <v>0.33333333333333331</v>
      </c>
      <c r="FS10" s="2">
        <f t="shared" ca="1" si="112"/>
        <v>5.1528616051622768E-2</v>
      </c>
      <c r="FT10" s="2">
        <f t="shared" ca="1" si="113"/>
        <v>0.6151380506150439</v>
      </c>
      <c r="FU10" s="2">
        <f t="shared" si="114"/>
        <v>20.026666666666664</v>
      </c>
      <c r="FV10" s="2">
        <f t="shared" ca="1" si="115"/>
        <v>3.7023310633090958</v>
      </c>
      <c r="FW10" s="2">
        <f t="shared" ca="1" si="116"/>
        <v>24.790063439786266</v>
      </c>
      <c r="FX10" s="2">
        <f t="shared" ca="1" si="117"/>
        <v>48.519061169762026</v>
      </c>
      <c r="FY10" s="2">
        <f t="shared" ca="1" si="118"/>
        <v>41.275874231358067</v>
      </c>
      <c r="FZ10" s="2">
        <f t="shared" ca="1" si="118"/>
        <v>7.6306733354858407</v>
      </c>
      <c r="GA10" s="2">
        <f t="shared" ca="1" si="118"/>
        <v>51.093452433156088</v>
      </c>
      <c r="GB10" s="2">
        <f t="shared" ca="1" si="119"/>
        <v>92.270707592256585</v>
      </c>
      <c r="GC10" s="2">
        <f t="shared" si="120"/>
        <v>3000000000</v>
      </c>
      <c r="GD10" s="2">
        <f t="shared" si="149"/>
        <v>38</v>
      </c>
      <c r="GE10">
        <f t="shared" si="150"/>
        <v>1473.0934573999998</v>
      </c>
      <c r="GF10">
        <f t="shared" si="151"/>
        <v>1472.7640000000001</v>
      </c>
      <c r="GG10">
        <f t="shared" si="152"/>
        <v>1824.7890000000002</v>
      </c>
      <c r="GH10" s="2">
        <f t="shared" si="153"/>
        <v>0.34748894377927925</v>
      </c>
      <c r="GI10" s="2">
        <f t="shared" si="154"/>
        <v>1.2889999999999999</v>
      </c>
      <c r="GJ10" s="2">
        <f t="shared" si="155"/>
        <v>-1.7580000000000005</v>
      </c>
      <c r="GK10" s="2">
        <f t="shared" si="156"/>
        <v>1.4749999999999996</v>
      </c>
      <c r="GL10" s="2">
        <f t="shared" si="157"/>
        <v>-0.34748894377927925</v>
      </c>
      <c r="GM10">
        <f t="shared" si="158"/>
        <v>0.39728813559322051</v>
      </c>
      <c r="GN10">
        <f t="shared" si="159"/>
        <v>6.2707110191402335E-2</v>
      </c>
      <c r="GO10">
        <f t="shared" si="160"/>
        <v>-0.17359471416259706</v>
      </c>
      <c r="GP10">
        <f t="shared" si="161"/>
        <v>-0.1177928622980608</v>
      </c>
      <c r="GQ10">
        <f t="shared" si="162"/>
        <v>0.29129943502824862</v>
      </c>
      <c r="GR10">
        <f t="shared" si="163"/>
        <v>0.15783786268313718</v>
      </c>
      <c r="GS10">
        <f t="shared" si="164"/>
        <v>6.9052583268660733E-3</v>
      </c>
      <c r="GT10">
        <f t="shared" si="165"/>
        <v>2.3772163645384482E-3</v>
      </c>
      <c r="GU10">
        <f t="shared" si="166"/>
        <v>0.3829241655989728</v>
      </c>
      <c r="GV10">
        <f t="shared" si="167"/>
        <v>-0.34853264519451232</v>
      </c>
      <c r="GW10">
        <f t="shared" si="168"/>
        <v>0.43167965599768099</v>
      </c>
      <c r="GY10" s="15">
        <f t="shared" si="169"/>
        <v>0.19078077462893117</v>
      </c>
      <c r="GZ10" s="2">
        <f t="shared" si="170"/>
        <v>6.1465724727901586E-2</v>
      </c>
      <c r="HA10" s="2">
        <f t="shared" si="171"/>
        <v>5.0660447082335858E-2</v>
      </c>
      <c r="HB10" s="2">
        <f t="shared" si="172"/>
        <v>0.3029069464391686</v>
      </c>
      <c r="HC10" s="2">
        <f t="shared" si="173"/>
        <v>0.62983294662489619</v>
      </c>
      <c r="HD10" s="2">
        <f t="shared" si="174"/>
        <v>0.20291949541092966</v>
      </c>
      <c r="HE10" s="2">
        <f t="shared" si="175"/>
        <v>0.1672475579641742</v>
      </c>
      <c r="HF10" s="2">
        <f t="shared" si="176"/>
        <v>-1.3725474121931955</v>
      </c>
      <c r="HG10" s="2">
        <f t="shared" si="177"/>
        <v>-1.3593116577647437</v>
      </c>
      <c r="HH10" s="2">
        <f t="shared" si="178"/>
        <v>-1.3659295349789695</v>
      </c>
      <c r="HI10" s="2">
        <f t="shared" si="179"/>
        <v>2.1475209753956639</v>
      </c>
      <c r="HJ10" s="2">
        <f t="shared" si="180"/>
        <v>0.2188134332760269</v>
      </c>
      <c r="HK10" s="2">
        <f t="shared" si="181"/>
        <v>0.34581744508738149</v>
      </c>
      <c r="HL10" s="2">
        <f t="shared" si="182"/>
        <v>0.70938609797842633</v>
      </c>
    </row>
    <row r="11" spans="1:220" s="2" customFormat="1" ht="20.25">
      <c r="A11" s="88" t="s">
        <v>158</v>
      </c>
      <c r="B11" s="77">
        <v>250</v>
      </c>
      <c r="C11" s="94">
        <f t="shared" si="126"/>
        <v>-3.9416758418194822</v>
      </c>
      <c r="D11" s="59">
        <f t="shared" si="1"/>
        <v>-3.7690963490751415</v>
      </c>
      <c r="E11" s="60">
        <f t="shared" si="2"/>
        <v>-3.9416758418194822</v>
      </c>
      <c r="F11" s="65">
        <v>47.997166666666665</v>
      </c>
      <c r="G11" s="65">
        <v>1.0746666666666667</v>
      </c>
      <c r="H11" s="65">
        <v>11.016833333333333</v>
      </c>
      <c r="I11" s="65">
        <v>10.0839</v>
      </c>
      <c r="J11" s="65">
        <v>0.17500000000000002</v>
      </c>
      <c r="K11" s="65">
        <v>17.5975</v>
      </c>
      <c r="L11" s="65">
        <v>9.9238333333333344</v>
      </c>
      <c r="M11" s="65">
        <v>1.3898333333333335</v>
      </c>
      <c r="N11" s="65">
        <v>0.50816666666666666</v>
      </c>
      <c r="O11" s="66">
        <v>1.9833333333333331E-2</v>
      </c>
      <c r="P11" s="66">
        <v>0.11399999999999999</v>
      </c>
      <c r="Q11" s="66">
        <v>0.53266666666666673</v>
      </c>
      <c r="R11" s="3">
        <f t="shared" si="3"/>
        <v>99.900733333333321</v>
      </c>
      <c r="S11" s="135">
        <v>3</v>
      </c>
      <c r="T11" s="288">
        <f t="shared" si="127"/>
        <v>0.35268524401466667</v>
      </c>
      <c r="U11" s="54">
        <f t="shared" si="4"/>
        <v>1534.0078140019536</v>
      </c>
      <c r="V11" s="54">
        <f t="shared" ca="1" si="4"/>
        <v>1516.9419151099514</v>
      </c>
      <c r="W11" s="54">
        <f t="shared" si="5"/>
        <v>1523.3917673352869</v>
      </c>
      <c r="X11" s="101">
        <f t="shared" ca="1" si="6"/>
        <v>1602.0012839647848</v>
      </c>
      <c r="Y11" s="101">
        <f t="shared" ca="1" si="7"/>
        <v>1534.1001326745911</v>
      </c>
      <c r="Z11" s="50">
        <f t="shared" ca="1" si="8"/>
        <v>1580.8287704993716</v>
      </c>
      <c r="AA11" s="50">
        <f t="shared" ca="1" si="9"/>
        <v>1562.8932761040576</v>
      </c>
      <c r="AB11" s="103">
        <f t="shared" ca="1" si="128"/>
        <v>39.09923064281957</v>
      </c>
      <c r="AC11" s="283">
        <v>13.3</v>
      </c>
      <c r="AD11" s="283">
        <f t="shared" ca="1" si="10"/>
        <v>11.864189456160524</v>
      </c>
      <c r="AE11" s="3">
        <f t="shared" ca="1" si="11"/>
        <v>113.10915976632124</v>
      </c>
      <c r="AF11" s="3">
        <f t="shared" ca="1" si="12"/>
        <v>213.49874925803152</v>
      </c>
      <c r="AG11" s="3">
        <f t="shared" ca="1" si="13"/>
        <v>529.78839529227935</v>
      </c>
      <c r="AH11" s="3">
        <f t="shared" ca="1" si="14"/>
        <v>81.543929362587633</v>
      </c>
      <c r="AI11" s="85">
        <f t="shared" si="129"/>
        <v>0.36276327385086615</v>
      </c>
      <c r="AJ11" s="85">
        <f t="shared" ca="1" si="15"/>
        <v>2.3309081095521429</v>
      </c>
      <c r="AK11" s="85">
        <f t="shared" si="16"/>
        <v>0.29642287643967258</v>
      </c>
      <c r="AL11" s="86">
        <f t="shared" ca="1" si="130"/>
        <v>0.27699822788613226</v>
      </c>
      <c r="AM11" s="85">
        <f t="shared" si="17"/>
        <v>0.35268524401466667</v>
      </c>
      <c r="AN11" s="85">
        <f t="shared" ca="1" si="131"/>
        <v>0.35268524401466711</v>
      </c>
      <c r="AO11" s="123">
        <f t="shared" ca="1" si="18"/>
        <v>41.196257472845183</v>
      </c>
      <c r="AP11" s="123">
        <f t="shared" ca="1" si="19"/>
        <v>8.0552287035363097</v>
      </c>
      <c r="AQ11" s="123">
        <f t="shared" ca="1" si="20"/>
        <v>50.748513823618495</v>
      </c>
      <c r="AS11" s="53">
        <f t="shared" ca="1" si="132"/>
        <v>79.844612632921127</v>
      </c>
      <c r="AT11" s="53">
        <f t="shared" ca="1" si="21"/>
        <v>91.82489635381728</v>
      </c>
      <c r="AU11" s="63">
        <f t="shared" ca="1" si="22"/>
        <v>0.35268524401466711</v>
      </c>
      <c r="AV11" s="53">
        <f t="shared" si="23"/>
        <v>2.5525643400167577</v>
      </c>
      <c r="AW11" s="53">
        <f t="shared" ca="1" si="24"/>
        <v>2.5828660250688418</v>
      </c>
      <c r="AX11" s="54">
        <f t="shared" si="25"/>
        <v>1571.316852806397</v>
      </c>
      <c r="AY11" s="54">
        <f t="shared" si="133"/>
        <v>1534.0078140019536</v>
      </c>
      <c r="AZ11" s="54">
        <f t="shared" ca="1" si="26"/>
        <v>1516.9419151099514</v>
      </c>
      <c r="BA11" s="34"/>
      <c r="BB11" s="63">
        <f t="shared" ca="1" si="27"/>
        <v>0.15391792286729988</v>
      </c>
      <c r="BC11" s="63">
        <f t="shared" ca="1" si="28"/>
        <v>3.6592615086821885E-2</v>
      </c>
      <c r="BD11" s="53">
        <f t="shared" si="29"/>
        <v>0.14544615000000014</v>
      </c>
      <c r="BE11" s="53">
        <f t="shared" ca="1" si="30"/>
        <v>0.1225186740679331</v>
      </c>
      <c r="BF11" s="53">
        <f t="shared" ca="1" si="31"/>
        <v>8.4618445149992158E-2</v>
      </c>
      <c r="BG11"/>
      <c r="BH11" s="53">
        <f t="shared" si="32"/>
        <v>0.13973766333333346</v>
      </c>
      <c r="BI11" s="53">
        <f t="shared" si="33"/>
        <v>0.1853171716666667</v>
      </c>
      <c r="BJ11"/>
      <c r="BK11" s="53">
        <f t="shared" si="134"/>
        <v>0.16805787140457995</v>
      </c>
      <c r="BL11" s="53">
        <f t="shared" si="135"/>
        <v>0.13012971718591285</v>
      </c>
      <c r="BM11" s="53">
        <f t="shared" si="136"/>
        <v>0.20004653128502664</v>
      </c>
      <c r="BN11" s="53">
        <f t="shared" si="137"/>
        <v>0.30691954321585779</v>
      </c>
      <c r="BO11" s="53">
        <f t="shared" si="138"/>
        <v>0.39490378165578821</v>
      </c>
      <c r="BP11" s="53">
        <f t="shared" si="139"/>
        <v>0.41862832727802868</v>
      </c>
      <c r="BQ11" s="54">
        <f t="shared" si="140"/>
        <v>1399.8314789999999</v>
      </c>
      <c r="BR11" s="262">
        <f t="shared" si="141"/>
        <v>3.5908589647219604</v>
      </c>
      <c r="BS11" s="54">
        <f t="shared" si="142"/>
        <v>1569.7918710812087</v>
      </c>
      <c r="BT11"/>
      <c r="BU11" s="2">
        <f t="shared" si="37"/>
        <v>0.79888759431868617</v>
      </c>
      <c r="BV11" s="2">
        <f t="shared" si="38"/>
        <v>1.3450146015853148E-2</v>
      </c>
      <c r="BW11" s="2">
        <f t="shared" si="39"/>
        <v>0.21610108539296455</v>
      </c>
      <c r="BX11" s="2">
        <f t="shared" si="40"/>
        <v>0.14034655532359083</v>
      </c>
      <c r="BY11" s="2">
        <f t="shared" si="41"/>
        <v>2.4668734141528054E-3</v>
      </c>
      <c r="BZ11" s="2">
        <f t="shared" si="42"/>
        <v>0.43666253101736974</v>
      </c>
      <c r="CA11" s="2">
        <f t="shared" si="43"/>
        <v>0.1769585116500238</v>
      </c>
      <c r="CB11" s="2">
        <f t="shared" si="44"/>
        <v>4.4847800365709373E-2</v>
      </c>
      <c r="CC11" s="2">
        <f t="shared" si="45"/>
        <v>1.0789101203113941E-2</v>
      </c>
      <c r="CD11" s="2">
        <f t="shared" si="46"/>
        <v>2.6098208215452769E-4</v>
      </c>
      <c r="CE11" s="2">
        <f t="shared" si="47"/>
        <v>1.6063125264196138E-3</v>
      </c>
      <c r="CF11" s="2">
        <f t="shared" si="48"/>
        <v>1.8423774933100387</v>
      </c>
      <c r="CG11" s="2">
        <f t="shared" si="49"/>
        <v>0.4336177559808303</v>
      </c>
      <c r="CH11" s="2">
        <f t="shared" si="49"/>
        <v>7.300428964581219E-3</v>
      </c>
      <c r="CI11" s="2">
        <f t="shared" si="49"/>
        <v>0.11729468373211323</v>
      </c>
      <c r="CJ11" s="2">
        <f t="shared" si="49"/>
        <v>7.6176872455949535E-2</v>
      </c>
      <c r="CK11" s="2">
        <f t="shared" si="49"/>
        <v>1.3389619788074969E-3</v>
      </c>
      <c r="CL11" s="2">
        <f t="shared" si="49"/>
        <v>0.23701034809801996</v>
      </c>
      <c r="CM11" s="2">
        <f t="shared" si="49"/>
        <v>9.6048997717670712E-2</v>
      </c>
      <c r="CN11" s="2">
        <f t="shared" si="49"/>
        <v>2.4342351406570456E-2</v>
      </c>
      <c r="CO11" s="2">
        <f t="shared" si="49"/>
        <v>5.8560752301256708E-3</v>
      </c>
      <c r="CP11" s="2">
        <f t="shared" si="50"/>
        <v>1.4165505337651732E-4</v>
      </c>
      <c r="CQ11" s="2">
        <f t="shared" si="51"/>
        <v>8.7186938195477645E-4</v>
      </c>
      <c r="CS11" s="2">
        <f t="shared" ca="1" si="52"/>
        <v>0.68569003783031268</v>
      </c>
      <c r="CT11" s="2">
        <f t="shared" ca="1" si="53"/>
        <v>0.11211174256835504</v>
      </c>
      <c r="CU11" s="2">
        <f t="shared" ca="1" si="54"/>
        <v>1.2592683330922705</v>
      </c>
      <c r="CV11" s="2">
        <f t="shared" ca="1" si="55"/>
        <v>2.0570701134909379</v>
      </c>
      <c r="CW11" s="2">
        <f t="shared" ca="1" si="56"/>
        <v>0.33333333333333337</v>
      </c>
      <c r="CX11" s="2">
        <f t="shared" ca="1" si="57"/>
        <v>5.450069097455143E-2</v>
      </c>
      <c r="CY11" s="2">
        <f t="shared" ca="1" si="58"/>
        <v>0.61216597569211539</v>
      </c>
      <c r="CZ11" s="2">
        <f t="shared" si="59"/>
        <v>0.41057518025044776</v>
      </c>
      <c r="DA11" s="2">
        <f t="shared" si="60"/>
        <v>0.4336177559808303</v>
      </c>
      <c r="DB11" s="2">
        <f t="shared" si="61"/>
        <v>-0.48796397737721542</v>
      </c>
      <c r="DD11" s="2">
        <f t="shared" si="62"/>
        <v>1571.316852806397</v>
      </c>
      <c r="DE11" s="2">
        <f t="shared" si="63"/>
        <v>15085.825675935726</v>
      </c>
      <c r="DF11" s="2">
        <f t="shared" si="64"/>
        <v>8.1789627463254817</v>
      </c>
      <c r="DG11" s="2">
        <f t="shared" si="65"/>
        <v>1663.1578140019537</v>
      </c>
      <c r="DH11" s="2">
        <f t="shared" si="66"/>
        <v>1390.0078140019536</v>
      </c>
      <c r="DI11" s="2">
        <f t="shared" si="143"/>
        <v>13602.905801982104</v>
      </c>
      <c r="DJ11" s="2">
        <f t="shared" si="67"/>
        <v>8.1789627463254817</v>
      </c>
      <c r="DK11" s="2">
        <f t="shared" si="68"/>
        <v>1663.1578140019537</v>
      </c>
      <c r="DL11" s="2">
        <f t="shared" si="69"/>
        <v>3</v>
      </c>
      <c r="DM11" s="2">
        <f t="shared" si="70"/>
        <v>-0.48796397737721542</v>
      </c>
      <c r="DN11" s="2">
        <f t="shared" si="71"/>
        <v>0.41057518025044776</v>
      </c>
      <c r="DO11" s="2">
        <f t="shared" si="72"/>
        <v>0.4336177559808303</v>
      </c>
      <c r="DP11" s="2">
        <f t="shared" si="73"/>
        <v>2.5525643400167577</v>
      </c>
      <c r="DQ11" s="2">
        <f t="shared" si="74"/>
        <v>15085.899999999994</v>
      </c>
      <c r="DR11" s="2">
        <f t="shared" si="75"/>
        <v>8.1787395191533463</v>
      </c>
      <c r="DS11" s="2">
        <f t="shared" si="76"/>
        <v>1571.3762824022142</v>
      </c>
      <c r="DT11" s="2">
        <f t="shared" si="77"/>
        <v>1390.0707686947057</v>
      </c>
      <c r="DU11" s="2">
        <f t="shared" si="78"/>
        <v>1534.0707686947057</v>
      </c>
      <c r="DV11" s="9">
        <f t="shared" ca="1" si="79"/>
        <v>2.5828660250688418</v>
      </c>
      <c r="DW11" s="2">
        <f t="shared" ca="1" si="80"/>
        <v>3.042911524812201</v>
      </c>
      <c r="DX11" s="2">
        <f t="shared" si="81"/>
        <v>4595.2700000000004</v>
      </c>
      <c r="DY11" s="2">
        <f t="shared" ca="1" si="144"/>
        <v>1510.1556396003352</v>
      </c>
      <c r="DZ11" s="2">
        <f t="shared" ca="1" si="82"/>
        <v>3.9223681237054548</v>
      </c>
      <c r="EB11" s="2">
        <f t="shared" si="83"/>
        <v>0.79888759431868617</v>
      </c>
      <c r="EC11" s="2">
        <f t="shared" si="84"/>
        <v>1.3450146015853148E-2</v>
      </c>
      <c r="ED11" s="2">
        <f t="shared" si="85"/>
        <v>0.10805054269648227</v>
      </c>
      <c r="EE11" s="2">
        <f t="shared" si="86"/>
        <v>0.14034655532359083</v>
      </c>
      <c r="EF11" s="2">
        <f t="shared" si="87"/>
        <v>2.4668734141528054E-3</v>
      </c>
      <c r="EG11" s="2">
        <f t="shared" si="88"/>
        <v>0.43666253101736974</v>
      </c>
      <c r="EH11" s="2">
        <f t="shared" si="89"/>
        <v>0.1769585116500238</v>
      </c>
      <c r="EI11" s="2">
        <f t="shared" si="90"/>
        <v>2.2423900182854686E-2</v>
      </c>
      <c r="EJ11" s="2">
        <f t="shared" si="91"/>
        <v>5.3945506015569706E-3</v>
      </c>
      <c r="EK11" s="2">
        <f t="shared" si="92"/>
        <v>1.3049104107726385E-4</v>
      </c>
      <c r="EL11" s="2">
        <f t="shared" si="93"/>
        <v>8.0315626320980689E-4</v>
      </c>
      <c r="EM11" s="2">
        <f t="shared" si="94"/>
        <v>1.7055748525248577</v>
      </c>
      <c r="EN11" s="2">
        <f t="shared" si="95"/>
        <v>0.46839785022395719</v>
      </c>
      <c r="EO11" s="2">
        <f t="shared" si="95"/>
        <v>7.885989873702785E-3</v>
      </c>
      <c r="EP11" s="2">
        <f t="shared" si="95"/>
        <v>6.3351392955008107E-2</v>
      </c>
      <c r="EQ11" s="2">
        <f t="shared" si="95"/>
        <v>8.2286951590443524E-2</v>
      </c>
      <c r="ER11" s="2">
        <f t="shared" si="95"/>
        <v>1.4463589273147144E-3</v>
      </c>
      <c r="ES11" s="2">
        <f t="shared" si="95"/>
        <v>0.25602073715554247</v>
      </c>
      <c r="ET11" s="2">
        <f t="shared" si="95"/>
        <v>0.10375300233118601</v>
      </c>
      <c r="EU11" s="2">
        <f t="shared" si="95"/>
        <v>1.3147414872856113E-2</v>
      </c>
      <c r="EV11" s="2">
        <f t="shared" si="95"/>
        <v>3.1628929059144581E-3</v>
      </c>
      <c r="EW11" s="2">
        <f t="shared" si="95"/>
        <v>7.6508539560190316E-5</v>
      </c>
      <c r="EX11" s="2">
        <f t="shared" si="95"/>
        <v>4.709006245142802E-4</v>
      </c>
      <c r="EY11" s="2">
        <f t="shared" si="96"/>
        <v>0.99999999999999967</v>
      </c>
      <c r="EZ11" s="2">
        <f t="shared" si="97"/>
        <v>0.11729468373211323</v>
      </c>
      <c r="FA11" s="2">
        <f t="shared" si="98"/>
        <v>0.55821286867752473</v>
      </c>
      <c r="FB11" s="2">
        <f t="shared" si="99"/>
        <v>1.4858449450927402</v>
      </c>
      <c r="FC11" s="2">
        <f t="shared" si="100"/>
        <v>0.73883841547538154</v>
      </c>
      <c r="FD11" s="2">
        <f t="shared" si="101"/>
        <v>1.3235782564916159</v>
      </c>
      <c r="FE11" s="2">
        <f t="shared" ca="1" si="102"/>
        <v>0.13662003671671147</v>
      </c>
      <c r="FF11" s="2">
        <f t="shared" ca="1" si="103"/>
        <v>0.13662003671671147</v>
      </c>
      <c r="FG11" s="2">
        <f t="shared" ca="1" si="104"/>
        <v>0.16074013182529256</v>
      </c>
      <c r="FH11" s="2">
        <f t="shared" ca="1" si="105"/>
        <v>-3.3516491827297976</v>
      </c>
      <c r="FI11" s="2">
        <f t="shared" ca="1" si="106"/>
        <v>8.8294788878874337E-3</v>
      </c>
      <c r="FJ11" s="2">
        <f t="shared" ca="1" si="107"/>
        <v>6.4627993814668661E-2</v>
      </c>
      <c r="FK11" s="2">
        <f t="shared" ca="1" si="108"/>
        <v>0.25243265265424442</v>
      </c>
      <c r="FL11" s="2">
        <f t="shared" ca="1" si="109"/>
        <v>8.9029271698631895E-2</v>
      </c>
      <c r="FM11" s="2">
        <f t="shared" ca="1" si="145"/>
        <v>0.35268524401466711</v>
      </c>
      <c r="FN11" s="2">
        <f t="shared" ca="1" si="146"/>
        <v>8.9029271698631895E-2</v>
      </c>
      <c r="FO11" s="2">
        <f t="shared" ca="1" si="110"/>
        <v>8.9029271698631784E-2</v>
      </c>
      <c r="FP11" s="2">
        <f t="shared" ca="1" si="147"/>
        <v>1.8364979270763457</v>
      </c>
      <c r="FQ11" s="2">
        <f t="shared" ca="1" si="111"/>
        <v>0.16350207292365426</v>
      </c>
      <c r="FR11" s="2">
        <f t="shared" si="148"/>
        <v>0.33333333333333331</v>
      </c>
      <c r="FS11" s="2">
        <f t="shared" ca="1" si="112"/>
        <v>5.4500690974551423E-2</v>
      </c>
      <c r="FT11" s="2">
        <f t="shared" ca="1" si="113"/>
        <v>0.61216597569211528</v>
      </c>
      <c r="FU11" s="2">
        <f t="shared" si="114"/>
        <v>20.026666666666664</v>
      </c>
      <c r="FV11" s="2">
        <f t="shared" ca="1" si="115"/>
        <v>3.9158746465215195</v>
      </c>
      <c r="FW11" s="2">
        <f t="shared" ca="1" si="116"/>
        <v>24.670288820392244</v>
      </c>
      <c r="FX11" s="2">
        <f t="shared" ca="1" si="117"/>
        <v>48.612830133580431</v>
      </c>
      <c r="FY11" s="2">
        <f t="shared" ca="1" si="118"/>
        <v>41.196257472845183</v>
      </c>
      <c r="FZ11" s="2">
        <f t="shared" ca="1" si="118"/>
        <v>8.0552287035363097</v>
      </c>
      <c r="GA11" s="2">
        <f t="shared" ca="1" si="118"/>
        <v>50.748513823618495</v>
      </c>
      <c r="GB11" s="2">
        <f t="shared" ca="1" si="119"/>
        <v>91.82489635381728</v>
      </c>
      <c r="GC11" s="2">
        <f t="shared" si="120"/>
        <v>3000000000</v>
      </c>
      <c r="GD11" s="2">
        <f t="shared" si="149"/>
        <v>38</v>
      </c>
      <c r="GE11">
        <f t="shared" si="150"/>
        <v>1473.0934573999998</v>
      </c>
      <c r="GF11">
        <f t="shared" si="151"/>
        <v>1472.7640000000001</v>
      </c>
      <c r="GG11">
        <f t="shared" si="152"/>
        <v>1824.7890000000002</v>
      </c>
      <c r="GH11" s="2">
        <f t="shared" si="153"/>
        <v>0.17397575172772817</v>
      </c>
      <c r="GI11" s="2">
        <f t="shared" si="154"/>
        <v>1.2889999999999999</v>
      </c>
      <c r="GJ11" s="2">
        <f t="shared" si="155"/>
        <v>-1.7580000000000005</v>
      </c>
      <c r="GK11" s="2">
        <f t="shared" si="156"/>
        <v>1.4749999999999996</v>
      </c>
      <c r="GL11" s="2">
        <f t="shared" si="157"/>
        <v>-0.17397575172772817</v>
      </c>
      <c r="GM11">
        <f t="shared" si="158"/>
        <v>0.39728813559322051</v>
      </c>
      <c r="GN11">
        <f t="shared" si="159"/>
        <v>6.2707110191402335E-2</v>
      </c>
      <c r="GO11">
        <f t="shared" si="160"/>
        <v>-0.17359471416259706</v>
      </c>
      <c r="GP11">
        <f t="shared" si="161"/>
        <v>-5.8974831094145155E-2</v>
      </c>
      <c r="GQ11">
        <f t="shared" si="162"/>
        <v>0.29129943502824862</v>
      </c>
      <c r="GR11">
        <f t="shared" si="163"/>
        <v>0.15783786268313718</v>
      </c>
      <c r="GS11">
        <f t="shared" si="164"/>
        <v>-5.1912772877049568E-2</v>
      </c>
      <c r="GT11">
        <f t="shared" si="165"/>
        <v>2.3772163645384482E-3</v>
      </c>
      <c r="GU11">
        <f t="shared" si="166"/>
        <v>0.26826631280750562</v>
      </c>
      <c r="GV11">
        <f t="shared" si="167"/>
        <v>-0.49749657699614619</v>
      </c>
      <c r="GW11">
        <f t="shared" si="168"/>
        <v>0.16805787140457995</v>
      </c>
      <c r="GY11" s="15">
        <f t="shared" si="169"/>
        <v>0.16445842951021097</v>
      </c>
      <c r="GZ11" s="2">
        <f t="shared" si="170"/>
        <v>7.1313891368271085E-2</v>
      </c>
      <c r="HA11" s="2">
        <f t="shared" si="171"/>
        <v>7.1735127524675354E-2</v>
      </c>
      <c r="HB11" s="2">
        <f t="shared" si="172"/>
        <v>0.30750744840315741</v>
      </c>
      <c r="HC11" s="2">
        <f t="shared" si="173"/>
        <v>0.53481120657148395</v>
      </c>
      <c r="HD11" s="2">
        <f t="shared" si="174"/>
        <v>0.23190947646502227</v>
      </c>
      <c r="HE11" s="2">
        <f t="shared" si="175"/>
        <v>0.23327931696349374</v>
      </c>
      <c r="HF11" s="2">
        <f t="shared" si="176"/>
        <v>-1.2933665640652385</v>
      </c>
      <c r="HG11" s="2">
        <f t="shared" si="177"/>
        <v>-1.2945796894876782</v>
      </c>
      <c r="HH11" s="2">
        <f t="shared" si="178"/>
        <v>-1.2939731267764585</v>
      </c>
      <c r="HI11" s="2">
        <f t="shared" si="179"/>
        <v>2.593504981805594</v>
      </c>
      <c r="HJ11" s="2">
        <f t="shared" si="180"/>
        <v>0.16142815255807624</v>
      </c>
      <c r="HK11" s="2">
        <f t="shared" si="181"/>
        <v>0.33978482994739534</v>
      </c>
      <c r="HL11" s="2">
        <f t="shared" si="182"/>
        <v>0.79532720475212959</v>
      </c>
    </row>
    <row r="12" spans="1:220" s="2" customFormat="1" ht="20.25">
      <c r="A12" s="88" t="s">
        <v>159</v>
      </c>
      <c r="B12" s="77">
        <v>122</v>
      </c>
      <c r="C12" s="94">
        <f t="shared" si="126"/>
        <v>-3.8506709279890403</v>
      </c>
      <c r="D12" s="59">
        <f t="shared" si="1"/>
        <v>-3.6796598368900333</v>
      </c>
      <c r="E12" s="60">
        <f t="shared" si="2"/>
        <v>-3.8506709279890403</v>
      </c>
      <c r="F12" s="66">
        <v>47.643923076923073</v>
      </c>
      <c r="G12" s="66">
        <v>0.57238461538461527</v>
      </c>
      <c r="H12" s="66">
        <v>11.678923076923079</v>
      </c>
      <c r="I12" s="66">
        <v>10.036769230769231</v>
      </c>
      <c r="J12" s="66">
        <v>0.16999999999999998</v>
      </c>
      <c r="K12" s="66">
        <v>18.562076923076923</v>
      </c>
      <c r="L12" s="66">
        <v>9.7523846153846154</v>
      </c>
      <c r="M12" s="66">
        <v>1.2678461538461541</v>
      </c>
      <c r="N12" s="66">
        <v>5.315384615384617E-2</v>
      </c>
      <c r="O12" s="66">
        <v>6.1999999999999986E-2</v>
      </c>
      <c r="P12" s="66">
        <v>4.7615384615384615E-2</v>
      </c>
      <c r="Q12" s="66">
        <v>0.28384615384615386</v>
      </c>
      <c r="R12" s="3">
        <f t="shared" si="3"/>
        <v>99.847076923076912</v>
      </c>
      <c r="S12" s="135">
        <v>3</v>
      </c>
      <c r="T12" s="288">
        <f t="shared" si="127"/>
        <v>0.35247635780930764</v>
      </c>
      <c r="U12" s="54">
        <f t="shared" si="4"/>
        <v>1547.1822822105992</v>
      </c>
      <c r="V12" s="54">
        <f t="shared" ca="1" si="4"/>
        <v>1537.0615990574724</v>
      </c>
      <c r="W12" s="54">
        <f t="shared" si="5"/>
        <v>1541.5252283644454</v>
      </c>
      <c r="X12" s="101">
        <f t="shared" ca="1" si="6"/>
        <v>1672.7151558257367</v>
      </c>
      <c r="Y12" s="101">
        <f t="shared" ca="1" si="7"/>
        <v>1580.4285634572163</v>
      </c>
      <c r="Z12" s="50">
        <f t="shared" ca="1" si="8"/>
        <v>1658.1345032114891</v>
      </c>
      <c r="AA12" s="50">
        <f t="shared" ca="1" si="9"/>
        <v>1629.0284271691253</v>
      </c>
      <c r="AB12" s="103">
        <f t="shared" ca="1" si="128"/>
        <v>57.518990502048794</v>
      </c>
      <c r="AC12" s="283">
        <v>13.3</v>
      </c>
      <c r="AD12" s="283">
        <f t="shared" ca="1" si="10"/>
        <v>12.013096119637618</v>
      </c>
      <c r="AE12" s="3">
        <f t="shared" ca="1" si="11"/>
        <v>114.55970312670243</v>
      </c>
      <c r="AF12" s="3">
        <f t="shared" ca="1" si="12"/>
        <v>213.64895715023965</v>
      </c>
      <c r="AG12" s="3">
        <f t="shared" ca="1" si="13"/>
        <v>536.20529982808728</v>
      </c>
      <c r="AH12" s="3">
        <f t="shared" ca="1" si="14"/>
        <v>128.00611647056579</v>
      </c>
      <c r="AI12" s="85">
        <f t="shared" si="129"/>
        <v>0.37019968229154343</v>
      </c>
      <c r="AJ12" s="85">
        <f t="shared" ca="1" si="15"/>
        <v>2.5139256618627459</v>
      </c>
      <c r="AK12" s="85">
        <f t="shared" si="16"/>
        <v>0.29958647375094549</v>
      </c>
      <c r="AL12" s="86">
        <f t="shared" ca="1" si="130"/>
        <v>0.28322241673318366</v>
      </c>
      <c r="AM12" s="85">
        <f t="shared" si="17"/>
        <v>0.35247635780930764</v>
      </c>
      <c r="AN12" s="85">
        <f t="shared" ca="1" si="131"/>
        <v>0.35247635780930742</v>
      </c>
      <c r="AO12" s="123">
        <f t="shared" ca="1" si="18"/>
        <v>41.243537132242594</v>
      </c>
      <c r="AP12" s="123">
        <f t="shared" ca="1" si="19"/>
        <v>7.8031105116920747</v>
      </c>
      <c r="AQ12" s="123">
        <f t="shared" ca="1" si="20"/>
        <v>50.953352356065338</v>
      </c>
      <c r="AS12" s="53">
        <f t="shared" ca="1" si="132"/>
        <v>80.405686918662894</v>
      </c>
      <c r="AT12" s="53">
        <f t="shared" ca="1" si="21"/>
        <v>92.089844714035138</v>
      </c>
      <c r="AU12" s="63">
        <f t="shared" ca="1" si="22"/>
        <v>0.35247635780930742</v>
      </c>
      <c r="AV12" s="53">
        <f t="shared" si="23"/>
        <v>2.4414773491926418</v>
      </c>
      <c r="AW12" s="53">
        <f t="shared" ca="1" si="24"/>
        <v>2.465036656603778</v>
      </c>
      <c r="AX12" s="54">
        <f t="shared" si="25"/>
        <v>1585.9275347931693</v>
      </c>
      <c r="AY12" s="54">
        <f t="shared" si="133"/>
        <v>1547.1822822105992</v>
      </c>
      <c r="AZ12" s="54">
        <f t="shared" ca="1" si="26"/>
        <v>1537.0615990574724</v>
      </c>
      <c r="BA12" s="34"/>
      <c r="BB12" s="63">
        <f t="shared" ca="1" si="27"/>
        <v>0.23872594417027548</v>
      </c>
      <c r="BC12" s="63">
        <f t="shared" ca="1" si="28"/>
        <v>5.1306816908706344E-2</v>
      </c>
      <c r="BD12" s="53">
        <f t="shared" si="29"/>
        <v>0.17636459230769205</v>
      </c>
      <c r="BE12" s="53">
        <f t="shared" ca="1" si="30"/>
        <v>0.26034933526362786</v>
      </c>
      <c r="BF12" s="53">
        <f t="shared" ca="1" si="31"/>
        <v>0.12348652587830937</v>
      </c>
      <c r="BG12"/>
      <c r="BH12" s="53">
        <f t="shared" si="32"/>
        <v>0.1746133692307692</v>
      </c>
      <c r="BI12" s="53">
        <f t="shared" si="33"/>
        <v>0.21710255307692311</v>
      </c>
      <c r="BJ12"/>
      <c r="BK12" s="53">
        <f t="shared" si="134"/>
        <v>0.216181023744418</v>
      </c>
      <c r="BL12" s="53">
        <f t="shared" si="135"/>
        <v>0.21249761288912919</v>
      </c>
      <c r="BM12" s="53">
        <f t="shared" si="136"/>
        <v>0.35018161843346618</v>
      </c>
      <c r="BN12" s="53">
        <f t="shared" si="137"/>
        <v>0.30053818491877377</v>
      </c>
      <c r="BO12" s="53">
        <f t="shared" si="138"/>
        <v>0.35815612371560812</v>
      </c>
      <c r="BP12" s="53">
        <f t="shared" si="139"/>
        <v>0.37809659246588612</v>
      </c>
      <c r="BQ12" s="54">
        <f t="shared" si="140"/>
        <v>1417.786564971361</v>
      </c>
      <c r="BR12" s="262">
        <f t="shared" si="141"/>
        <v>4.0363015462502227</v>
      </c>
      <c r="BS12" s="54">
        <f t="shared" si="142"/>
        <v>1604.7133665140168</v>
      </c>
      <c r="BT12"/>
      <c r="BU12" s="2">
        <f t="shared" si="37"/>
        <v>0.79300804056130281</v>
      </c>
      <c r="BV12" s="2">
        <f t="shared" si="38"/>
        <v>7.1637623953018179E-3</v>
      </c>
      <c r="BW12" s="2">
        <f t="shared" si="39"/>
        <v>0.22908833026526246</v>
      </c>
      <c r="BX12" s="2">
        <f t="shared" si="40"/>
        <v>0.13969059472190998</v>
      </c>
      <c r="BY12" s="2">
        <f t="shared" si="41"/>
        <v>2.3963913166055819E-3</v>
      </c>
      <c r="BZ12" s="2">
        <f t="shared" si="42"/>
        <v>0.46059744225997329</v>
      </c>
      <c r="CA12" s="2">
        <f t="shared" si="43"/>
        <v>0.173901294853506</v>
      </c>
      <c r="CB12" s="2">
        <f t="shared" si="44"/>
        <v>4.0911460272544505E-2</v>
      </c>
      <c r="CC12" s="2">
        <f t="shared" si="45"/>
        <v>1.1285317654744409E-3</v>
      </c>
      <c r="CD12" s="2">
        <f t="shared" si="46"/>
        <v>8.1584314757549817E-4</v>
      </c>
      <c r="CE12" s="2">
        <f t="shared" si="47"/>
        <v>6.7092270840333405E-4</v>
      </c>
      <c r="CF12" s="2">
        <f t="shared" si="48"/>
        <v>1.8493726142678597</v>
      </c>
      <c r="CG12" s="2">
        <f t="shared" si="49"/>
        <v>0.42879841219842191</v>
      </c>
      <c r="CH12" s="2">
        <f t="shared" si="49"/>
        <v>3.8736176474300447E-3</v>
      </c>
      <c r="CI12" s="2">
        <f t="shared" si="49"/>
        <v>0.12387353878707416</v>
      </c>
      <c r="CJ12" s="2">
        <f t="shared" si="49"/>
        <v>7.5534045245506942E-2</v>
      </c>
      <c r="CK12" s="2">
        <f t="shared" si="49"/>
        <v>1.295786094223245E-3</v>
      </c>
      <c r="CL12" s="2">
        <f t="shared" si="49"/>
        <v>0.24905605214788867</v>
      </c>
      <c r="CM12" s="2">
        <f t="shared" si="49"/>
        <v>9.4032588950361984E-2</v>
      </c>
      <c r="CN12" s="2">
        <f t="shared" si="49"/>
        <v>2.2121804960727597E-2</v>
      </c>
      <c r="CO12" s="2">
        <f t="shared" si="49"/>
        <v>6.1022411425791046E-4</v>
      </c>
      <c r="CP12" s="2">
        <f t="shared" si="50"/>
        <v>4.4114590065911559E-4</v>
      </c>
      <c r="CQ12" s="2">
        <f t="shared" si="51"/>
        <v>3.6278395344842003E-4</v>
      </c>
      <c r="CS12" s="2">
        <f t="shared" ca="1" si="52"/>
        <v>0.68647698289351855</v>
      </c>
      <c r="CT12" s="2">
        <f t="shared" ca="1" si="53"/>
        <v>0.1086027906985675</v>
      </c>
      <c r="CU12" s="2">
        <f t="shared" ca="1" si="54"/>
        <v>1.2643511750884699</v>
      </c>
      <c r="CV12" s="2">
        <f t="shared" ca="1" si="55"/>
        <v>2.0594309486805562</v>
      </c>
      <c r="CW12" s="2">
        <f t="shared" ca="1" si="56"/>
        <v>0.33333333333333326</v>
      </c>
      <c r="CX12" s="2">
        <f t="shared" ca="1" si="57"/>
        <v>5.2734368573099058E-2</v>
      </c>
      <c r="CY12" s="2">
        <f t="shared" ca="1" si="58"/>
        <v>0.61393229809356764</v>
      </c>
      <c r="CZ12" s="2">
        <f t="shared" si="59"/>
        <v>0.41991847243798086</v>
      </c>
      <c r="DA12" s="2">
        <f t="shared" si="60"/>
        <v>0.42879841219842191</v>
      </c>
      <c r="DB12" s="2">
        <f t="shared" si="61"/>
        <v>-0.4900249039702404</v>
      </c>
      <c r="DD12" s="2">
        <f t="shared" si="62"/>
        <v>1585.9275347931693</v>
      </c>
      <c r="DE12" s="2">
        <f t="shared" si="63"/>
        <v>15085.825675935726</v>
      </c>
      <c r="DF12" s="2">
        <f t="shared" si="64"/>
        <v>8.1146834349833039</v>
      </c>
      <c r="DG12" s="2">
        <f t="shared" si="65"/>
        <v>1676.332282210599</v>
      </c>
      <c r="DH12" s="2">
        <f t="shared" si="66"/>
        <v>1403.1822822105992</v>
      </c>
      <c r="DI12" s="2">
        <f t="shared" si="143"/>
        <v>13602.905801982104</v>
      </c>
      <c r="DJ12" s="2">
        <f t="shared" si="67"/>
        <v>8.1146834349833039</v>
      </c>
      <c r="DK12" s="2">
        <f t="shared" si="68"/>
        <v>1676.332282210599</v>
      </c>
      <c r="DL12" s="2">
        <f t="shared" si="69"/>
        <v>3</v>
      </c>
      <c r="DM12" s="2">
        <f t="shared" si="70"/>
        <v>-0.4900249039702404</v>
      </c>
      <c r="DN12" s="2">
        <f t="shared" si="71"/>
        <v>0.41991847243798086</v>
      </c>
      <c r="DO12" s="2">
        <f t="shared" si="72"/>
        <v>0.42879841219842191</v>
      </c>
      <c r="DP12" s="2">
        <f t="shared" si="73"/>
        <v>2.4414773491926418</v>
      </c>
      <c r="DQ12" s="2">
        <f t="shared" si="74"/>
        <v>15085.899999999994</v>
      </c>
      <c r="DR12" s="2">
        <f t="shared" si="75"/>
        <v>8.1144602078111685</v>
      </c>
      <c r="DS12" s="2">
        <f t="shared" si="76"/>
        <v>1585.9878371019622</v>
      </c>
      <c r="DT12" s="2">
        <f t="shared" si="77"/>
        <v>1403.2460980306964</v>
      </c>
      <c r="DU12" s="2">
        <f t="shared" si="78"/>
        <v>1547.2460980306964</v>
      </c>
      <c r="DV12" s="9">
        <f t="shared" ca="1" si="79"/>
        <v>2.465036656603778</v>
      </c>
      <c r="DW12" s="2">
        <f t="shared" ca="1" si="80"/>
        <v>3.0102728897557207</v>
      </c>
      <c r="DX12" s="2">
        <f t="shared" si="81"/>
        <v>4595.2700000000004</v>
      </c>
      <c r="DY12" s="2">
        <f t="shared" ca="1" si="144"/>
        <v>1526.529377332598</v>
      </c>
      <c r="DZ12" s="2">
        <f t="shared" ca="1" si="82"/>
        <v>3.7644089528029823</v>
      </c>
      <c r="EB12" s="2">
        <f t="shared" si="83"/>
        <v>0.79300804056130281</v>
      </c>
      <c r="EC12" s="2">
        <f t="shared" si="84"/>
        <v>7.1637623953018179E-3</v>
      </c>
      <c r="ED12" s="2">
        <f t="shared" si="85"/>
        <v>0.11454416513263123</v>
      </c>
      <c r="EE12" s="2">
        <f t="shared" si="86"/>
        <v>0.13969059472190998</v>
      </c>
      <c r="EF12" s="2">
        <f t="shared" si="87"/>
        <v>2.3963913166055819E-3</v>
      </c>
      <c r="EG12" s="2">
        <f t="shared" si="88"/>
        <v>0.46059744225997329</v>
      </c>
      <c r="EH12" s="2">
        <f t="shared" si="89"/>
        <v>0.173901294853506</v>
      </c>
      <c r="EI12" s="2">
        <f t="shared" si="90"/>
        <v>2.0455730136272252E-2</v>
      </c>
      <c r="EJ12" s="2">
        <f t="shared" si="91"/>
        <v>5.6426588273722044E-4</v>
      </c>
      <c r="EK12" s="2">
        <f t="shared" si="92"/>
        <v>4.0792157378774908E-4</v>
      </c>
      <c r="EL12" s="2">
        <f t="shared" si="93"/>
        <v>3.3546135420166703E-4</v>
      </c>
      <c r="EM12" s="2">
        <f t="shared" si="94"/>
        <v>1.7130650701882295</v>
      </c>
      <c r="EN12" s="2">
        <f t="shared" si="95"/>
        <v>0.46291764064406965</v>
      </c>
      <c r="EO12" s="2">
        <f t="shared" si="95"/>
        <v>4.1818390439276616E-3</v>
      </c>
      <c r="EP12" s="2">
        <f t="shared" si="95"/>
        <v>6.6865040403891518E-2</v>
      </c>
      <c r="EQ12" s="2">
        <f t="shared" si="95"/>
        <v>8.1544243212291367E-2</v>
      </c>
      <c r="ER12" s="2">
        <f t="shared" si="95"/>
        <v>1.3988910043809773E-3</v>
      </c>
      <c r="ES12" s="2">
        <f t="shared" si="95"/>
        <v>0.26887329049874525</v>
      </c>
      <c r="ET12" s="2">
        <f t="shared" si="95"/>
        <v>0.10151470477090396</v>
      </c>
      <c r="EU12" s="2">
        <f t="shared" si="95"/>
        <v>1.1941011752708612E-2</v>
      </c>
      <c r="EV12" s="2">
        <f t="shared" si="95"/>
        <v>3.293896376482766E-4</v>
      </c>
      <c r="EW12" s="2">
        <f t="shared" si="95"/>
        <v>2.3812380561990395E-4</v>
      </c>
      <c r="EX12" s="2">
        <f t="shared" si="95"/>
        <v>1.9582522581282154E-4</v>
      </c>
      <c r="EY12" s="2">
        <f t="shared" si="96"/>
        <v>1</v>
      </c>
      <c r="EZ12" s="2">
        <f t="shared" si="97"/>
        <v>0.12387353878707416</v>
      </c>
      <c r="FA12" s="2">
        <f t="shared" si="98"/>
        <v>0.55654556863292615</v>
      </c>
      <c r="FB12" s="2">
        <f t="shared" si="99"/>
        <v>1.4840075335823986</v>
      </c>
      <c r="FC12" s="2">
        <f t="shared" si="100"/>
        <v>0.74183279263309254</v>
      </c>
      <c r="FD12" s="2">
        <f t="shared" si="101"/>
        <v>1.332923725285061</v>
      </c>
      <c r="FE12" s="2">
        <f t="shared" ca="1" si="102"/>
        <v>0.12226069863206841</v>
      </c>
      <c r="FF12" s="2">
        <f t="shared" ca="1" si="103"/>
        <v>0.12226069863206841</v>
      </c>
      <c r="FG12" s="2">
        <f t="shared" ca="1" si="104"/>
        <v>0.1475186732640785</v>
      </c>
      <c r="FH12" s="2">
        <f t="shared" ca="1" si="105"/>
        <v>-3.2875617869859495</v>
      </c>
      <c r="FI12" s="2">
        <f t="shared" ca="1" si="106"/>
        <v>8.0108354637168904E-3</v>
      </c>
      <c r="FJ12" s="2">
        <f t="shared" ca="1" si="107"/>
        <v>6.5522572284857583E-2</v>
      </c>
      <c r="FK12" s="2">
        <f t="shared" ca="1" si="108"/>
        <v>0.24369312460645234</v>
      </c>
      <c r="FL12" s="2">
        <f t="shared" ca="1" si="109"/>
        <v>8.5896064984452028E-2</v>
      </c>
      <c r="FM12" s="2">
        <f t="shared" ca="1" si="145"/>
        <v>0.35247635780930742</v>
      </c>
      <c r="FN12" s="2">
        <f t="shared" ca="1" si="146"/>
        <v>8.5896064984452042E-2</v>
      </c>
      <c r="FO12" s="2">
        <f t="shared" ca="1" si="110"/>
        <v>8.5896064984452083E-2</v>
      </c>
      <c r="FP12" s="2">
        <f t="shared" ca="1" si="147"/>
        <v>1.8417968942807028</v>
      </c>
      <c r="FQ12" s="2">
        <f t="shared" ca="1" si="111"/>
        <v>0.15820310571929719</v>
      </c>
      <c r="FR12" s="2">
        <f t="shared" si="148"/>
        <v>0.33333333333333331</v>
      </c>
      <c r="FS12" s="2">
        <f t="shared" ca="1" si="112"/>
        <v>5.2734368573099065E-2</v>
      </c>
      <c r="FT12" s="2">
        <f t="shared" ca="1" si="113"/>
        <v>0.61393229809356764</v>
      </c>
      <c r="FU12" s="2">
        <f t="shared" si="114"/>
        <v>20.026666666666664</v>
      </c>
      <c r="FV12" s="2">
        <f t="shared" ca="1" si="115"/>
        <v>3.7889643819771677</v>
      </c>
      <c r="FW12" s="2">
        <f t="shared" ca="1" si="116"/>
        <v>24.741471613170773</v>
      </c>
      <c r="FX12" s="2">
        <f t="shared" ca="1" si="117"/>
        <v>48.557102661814604</v>
      </c>
      <c r="FY12" s="2">
        <f t="shared" ca="1" si="118"/>
        <v>41.243537132242594</v>
      </c>
      <c r="FZ12" s="2">
        <f t="shared" ca="1" si="118"/>
        <v>7.8031105116920747</v>
      </c>
      <c r="GA12" s="2">
        <f t="shared" ca="1" si="118"/>
        <v>50.953352356065338</v>
      </c>
      <c r="GB12" s="2">
        <f t="shared" ca="1" si="119"/>
        <v>92.089844714035124</v>
      </c>
      <c r="GC12" s="2">
        <f t="shared" si="120"/>
        <v>3000000000</v>
      </c>
      <c r="GD12" s="2">
        <f t="shared" si="149"/>
        <v>38</v>
      </c>
      <c r="GE12">
        <f t="shared" si="150"/>
        <v>1473.0934573999998</v>
      </c>
      <c r="GF12">
        <f t="shared" si="151"/>
        <v>1472.7640000000001</v>
      </c>
      <c r="GG12">
        <f t="shared" si="152"/>
        <v>1824.7890000000002</v>
      </c>
      <c r="GH12" s="2">
        <f t="shared" si="153"/>
        <v>0.21140056021759543</v>
      </c>
      <c r="GI12" s="2">
        <f t="shared" si="154"/>
        <v>1.2889999999999999</v>
      </c>
      <c r="GJ12" s="2">
        <f t="shared" si="155"/>
        <v>-1.7580000000000005</v>
      </c>
      <c r="GK12" s="2">
        <f t="shared" si="156"/>
        <v>1.4749999999999996</v>
      </c>
      <c r="GL12" s="2">
        <f t="shared" si="157"/>
        <v>-0.21140056021759543</v>
      </c>
      <c r="GM12">
        <f t="shared" si="158"/>
        <v>0.39728813559322051</v>
      </c>
      <c r="GN12">
        <f t="shared" si="159"/>
        <v>6.2707110191402335E-2</v>
      </c>
      <c r="GO12">
        <f t="shared" si="160"/>
        <v>-0.17359471416259706</v>
      </c>
      <c r="GP12">
        <f t="shared" si="161"/>
        <v>-7.1661206853422199E-2</v>
      </c>
      <c r="GQ12">
        <f t="shared" si="162"/>
        <v>0.29129943502824862</v>
      </c>
      <c r="GR12">
        <f t="shared" si="163"/>
        <v>0.15783786268313718</v>
      </c>
      <c r="GS12">
        <f t="shared" si="164"/>
        <v>-3.9226397117772524E-2</v>
      </c>
      <c r="GT12">
        <f t="shared" si="165"/>
        <v>2.3772163645384482E-3</v>
      </c>
      <c r="GU12">
        <f t="shared" si="166"/>
        <v>0.28582593187436967</v>
      </c>
      <c r="GV12">
        <f t="shared" si="167"/>
        <v>-0.46693304372317218</v>
      </c>
      <c r="GW12">
        <f t="shared" si="168"/>
        <v>0.216181023744418</v>
      </c>
      <c r="GY12" s="15">
        <f t="shared" si="169"/>
        <v>0.15999286367949456</v>
      </c>
      <c r="GZ12" s="2">
        <f t="shared" si="170"/>
        <v>7.1285003253439089E-2</v>
      </c>
      <c r="HA12" s="2">
        <f t="shared" si="171"/>
        <v>6.5362753767123388E-2</v>
      </c>
      <c r="HB12" s="2">
        <f t="shared" si="172"/>
        <v>0.29664062070005703</v>
      </c>
      <c r="HC12" s="2">
        <f t="shared" si="173"/>
        <v>0.53934914005344037</v>
      </c>
      <c r="HD12" s="2">
        <f t="shared" si="174"/>
        <v>0.24030762572303835</v>
      </c>
      <c r="HE12" s="2">
        <f t="shared" si="175"/>
        <v>0.22034323422352123</v>
      </c>
      <c r="HF12" s="2">
        <f t="shared" si="176"/>
        <v>-1.3121543899787889</v>
      </c>
      <c r="HG12" s="2">
        <f t="shared" si="177"/>
        <v>-1.3113422073476351</v>
      </c>
      <c r="HH12" s="2">
        <f t="shared" si="178"/>
        <v>-1.3117482986632121</v>
      </c>
      <c r="HI12" s="2">
        <f t="shared" si="179"/>
        <v>2.5043712747176063</v>
      </c>
      <c r="HJ12" s="2">
        <f t="shared" si="180"/>
        <v>0.17214618412572152</v>
      </c>
      <c r="HK12" s="2">
        <f t="shared" si="181"/>
        <v>0.34177688787052635</v>
      </c>
      <c r="HL12" s="2">
        <f t="shared" si="182"/>
        <v>0.79906191082021483</v>
      </c>
    </row>
    <row r="13" spans="1:220" s="2" customFormat="1" ht="20.25">
      <c r="A13" s="88" t="s">
        <v>160</v>
      </c>
      <c r="B13" s="77">
        <v>190</v>
      </c>
      <c r="C13" s="94">
        <f t="shared" si="126"/>
        <v>-4.4762684943174307</v>
      </c>
      <c r="D13" s="59">
        <f t="shared" si="1"/>
        <v>-4.2935938611457933</v>
      </c>
      <c r="E13" s="60">
        <f t="shared" si="2"/>
        <v>-4.4762684943174307</v>
      </c>
      <c r="F13" s="66">
        <v>48.427666666666674</v>
      </c>
      <c r="G13" s="66">
        <v>0.35055555555555551</v>
      </c>
      <c r="H13" s="66">
        <v>15.386555555555553</v>
      </c>
      <c r="I13" s="66">
        <v>8.3355222222222221</v>
      </c>
      <c r="J13" s="66">
        <v>0.14733333333333334</v>
      </c>
      <c r="K13" s="66">
        <v>13.931666666666667</v>
      </c>
      <c r="L13" s="66">
        <v>11.239555555555556</v>
      </c>
      <c r="M13" s="66">
        <v>1.68</v>
      </c>
      <c r="N13" s="66">
        <v>0.26466666666666666</v>
      </c>
      <c r="O13" s="66">
        <v>9.6333333333333326E-2</v>
      </c>
      <c r="P13" s="66">
        <v>6.2000000000000006E-2</v>
      </c>
      <c r="Q13" s="66">
        <v>0.17477777777777778</v>
      </c>
      <c r="R13" s="3">
        <f t="shared" si="3"/>
        <v>99.921855555555581</v>
      </c>
      <c r="S13" s="135">
        <v>3</v>
      </c>
      <c r="T13" s="288">
        <f t="shared" si="127"/>
        <v>0.35369639924133334</v>
      </c>
      <c r="U13" s="54">
        <f t="shared" si="4"/>
        <v>1460.3798671370732</v>
      </c>
      <c r="V13" s="54">
        <f t="shared" ca="1" si="4"/>
        <v>1454.6680358791696</v>
      </c>
      <c r="W13" s="54">
        <f t="shared" si="5"/>
        <v>1456.8965460259622</v>
      </c>
      <c r="X13" s="101">
        <f t="shared" ca="1" si="6"/>
        <v>1477.9888829580586</v>
      </c>
      <c r="Y13" s="101">
        <f t="shared" ca="1" si="7"/>
        <v>1414.7680358791695</v>
      </c>
      <c r="Z13" s="50">
        <f t="shared" ca="1" si="8"/>
        <v>1476.7086283120791</v>
      </c>
      <c r="AA13" s="50">
        <f t="shared" ca="1" si="9"/>
        <v>1467.130912698213</v>
      </c>
      <c r="AB13" s="103">
        <f t="shared" ca="1" si="128"/>
        <v>37.384371437253527</v>
      </c>
      <c r="AC13" s="283">
        <v>13.3</v>
      </c>
      <c r="AD13" s="283">
        <f t="shared" ca="1" si="10"/>
        <v>11.402660291803313</v>
      </c>
      <c r="AE13" s="3">
        <f t="shared" ca="1" si="11"/>
        <v>108.22952532419276</v>
      </c>
      <c r="AF13" s="3">
        <f t="shared" ca="1" si="12"/>
        <v>213.02087619475105</v>
      </c>
      <c r="AG13" s="3">
        <f t="shared" ca="1" si="13"/>
        <v>508.07004110360339</v>
      </c>
      <c r="AH13" s="3">
        <f t="shared" ca="1" si="14"/>
        <v>46.67085769445336</v>
      </c>
      <c r="AI13" s="85">
        <f t="shared" si="129"/>
        <v>0.30344289143308556</v>
      </c>
      <c r="AJ13" s="85">
        <f t="shared" ca="1" si="15"/>
        <v>1.8713879779058153</v>
      </c>
      <c r="AK13" s="85">
        <f t="shared" si="16"/>
        <v>0.30410241997704757</v>
      </c>
      <c r="AL13" s="86">
        <f t="shared" ca="1" si="130"/>
        <v>0.28105375020461881</v>
      </c>
      <c r="AM13" s="85">
        <f t="shared" si="17"/>
        <v>0.35369639924133334</v>
      </c>
      <c r="AN13" s="85">
        <f t="shared" ca="1" si="131"/>
        <v>0.35369639924133356</v>
      </c>
      <c r="AO13" s="123">
        <f t="shared" ca="1" si="18"/>
        <v>41.11729879351978</v>
      </c>
      <c r="AP13" s="123">
        <f t="shared" ca="1" si="19"/>
        <v>8.476274872558049</v>
      </c>
      <c r="AQ13" s="123">
        <f t="shared" ca="1" si="20"/>
        <v>50.40642633392217</v>
      </c>
      <c r="AS13" s="53">
        <f t="shared" ca="1" si="132"/>
        <v>78.947443955902784</v>
      </c>
      <c r="AT13" s="53">
        <f t="shared" ca="1" si="21"/>
        <v>91.381064875679513</v>
      </c>
      <c r="AU13" s="63">
        <f t="shared" ca="1" si="22"/>
        <v>0.35369639924133356</v>
      </c>
      <c r="AV13" s="53">
        <f t="shared" si="23"/>
        <v>3.2063239992743164</v>
      </c>
      <c r="AW13" s="53">
        <f t="shared" ca="1" si="24"/>
        <v>3.2397797477750028</v>
      </c>
      <c r="AX13" s="54">
        <f t="shared" si="25"/>
        <v>1489.6623601965316</v>
      </c>
      <c r="AY13" s="54">
        <f t="shared" si="133"/>
        <v>1460.3798671370732</v>
      </c>
      <c r="AZ13" s="54">
        <f t="shared" ca="1" si="26"/>
        <v>1454.6680358791696</v>
      </c>
      <c r="BA13" s="34"/>
      <c r="BB13" s="63">
        <f t="shared" ca="1" si="27"/>
        <v>9.1859101932240173E-2</v>
      </c>
      <c r="BC13" s="63">
        <f t="shared" ca="1" si="28"/>
        <v>4.0140454852526743E-2</v>
      </c>
      <c r="BD13" s="53">
        <f t="shared" si="29"/>
        <v>9.375774444444479E-2</v>
      </c>
      <c r="BE13" s="53">
        <f t="shared" ca="1" si="30"/>
        <v>9.1954049420035655E-2</v>
      </c>
      <c r="BF13" s="53">
        <f t="shared" ca="1" si="31"/>
        <v>0</v>
      </c>
      <c r="BG13"/>
      <c r="BH13" s="53">
        <f t="shared" si="32"/>
        <v>6.3610510000000245E-2</v>
      </c>
      <c r="BI13" s="53">
        <f t="shared" si="33"/>
        <v>9.176415444444469E-2</v>
      </c>
      <c r="BJ13"/>
      <c r="BK13" s="53">
        <f t="shared" si="134"/>
        <v>-2.6326126087269364E-2</v>
      </c>
      <c r="BL13" s="53">
        <f t="shared" si="135"/>
        <v>9.374490315630854E-2</v>
      </c>
      <c r="BM13" s="53">
        <f t="shared" si="136"/>
        <v>0.13142861929132324</v>
      </c>
      <c r="BN13" s="53">
        <f t="shared" si="137"/>
        <v>0.23538948628336587</v>
      </c>
      <c r="BO13" s="53">
        <f t="shared" si="138"/>
        <v>0.22652075604764887</v>
      </c>
      <c r="BP13" s="53">
        <f t="shared" si="139"/>
        <v>0.32620031317425846</v>
      </c>
      <c r="BQ13" s="54">
        <f t="shared" si="140"/>
        <v>1328.8780528888888</v>
      </c>
      <c r="BR13" s="262">
        <f t="shared" si="141"/>
        <v>2.3396105835369974</v>
      </c>
      <c r="BS13" s="54">
        <f t="shared" si="142"/>
        <v>1446.5614144695051</v>
      </c>
      <c r="BT13"/>
      <c r="BU13" s="2">
        <f t="shared" si="37"/>
        <v>0.80605304039059045</v>
      </c>
      <c r="BV13" s="2">
        <f t="shared" si="38"/>
        <v>4.3874287303573905E-3</v>
      </c>
      <c r="BW13" s="2">
        <f t="shared" si="39"/>
        <v>0.30181552678610346</v>
      </c>
      <c r="BX13" s="2">
        <f t="shared" si="40"/>
        <v>0.11601283538235523</v>
      </c>
      <c r="BY13" s="2">
        <f t="shared" si="41"/>
        <v>2.0768724743915048E-3</v>
      </c>
      <c r="BZ13" s="2">
        <f t="shared" si="42"/>
        <v>0.3456989247311828</v>
      </c>
      <c r="CA13" s="2">
        <f t="shared" si="43"/>
        <v>0.2004200348708195</v>
      </c>
      <c r="CB13" s="2">
        <f t="shared" si="44"/>
        <v>5.4211035818005807E-2</v>
      </c>
      <c r="CC13" s="2">
        <f t="shared" si="45"/>
        <v>5.6192498230714788E-3</v>
      </c>
      <c r="CD13" s="2">
        <f t="shared" si="46"/>
        <v>1.2676272561791344E-3</v>
      </c>
      <c r="CE13" s="2">
        <f t="shared" si="47"/>
        <v>8.7360856700014096E-4</v>
      </c>
      <c r="CF13" s="2">
        <f t="shared" si="48"/>
        <v>1.838436184830057</v>
      </c>
      <c r="CG13" s="2">
        <f t="shared" si="49"/>
        <v>0.43844493871572765</v>
      </c>
      <c r="CH13" s="2">
        <f t="shared" si="49"/>
        <v>2.3865004216956053E-3</v>
      </c>
      <c r="CI13" s="2">
        <f t="shared" si="49"/>
        <v>0.16416970535966846</v>
      </c>
      <c r="CJ13" s="2">
        <f t="shared" si="49"/>
        <v>6.3104086146498109E-2</v>
      </c>
      <c r="CK13" s="2">
        <f t="shared" si="49"/>
        <v>1.1296951678436903E-3</v>
      </c>
      <c r="CL13" s="2">
        <f t="shared" si="49"/>
        <v>0.18803966522402779</v>
      </c>
      <c r="CM13" s="2">
        <f t="shared" si="49"/>
        <v>0.10901658514154305</v>
      </c>
      <c r="CN13" s="2">
        <f t="shared" si="49"/>
        <v>2.9487580948052879E-2</v>
      </c>
      <c r="CO13" s="2">
        <f t="shared" si="49"/>
        <v>3.0565378713925369E-3</v>
      </c>
      <c r="CP13" s="2">
        <f t="shared" si="50"/>
        <v>6.8951387414968254E-4</v>
      </c>
      <c r="CQ13" s="2">
        <f t="shared" si="51"/>
        <v>4.7519112940049989E-4</v>
      </c>
      <c r="CS13" s="2">
        <f t="shared" ca="1" si="52"/>
        <v>0.68437581214247301</v>
      </c>
      <c r="CT13" s="2">
        <f t="shared" ca="1" si="53"/>
        <v>0.1179718145102025</v>
      </c>
      <c r="CU13" s="2">
        <f t="shared" ca="1" si="54"/>
        <v>1.2507798097747438</v>
      </c>
      <c r="CV13" s="2">
        <f t="shared" ca="1" si="55"/>
        <v>2.0531274364274195</v>
      </c>
      <c r="CW13" s="2">
        <f t="shared" ca="1" si="56"/>
        <v>0.33333333333333326</v>
      </c>
      <c r="CX13" s="2">
        <f t="shared" ca="1" si="57"/>
        <v>5.7459567495469953E-2</v>
      </c>
      <c r="CY13" s="2">
        <f t="shared" ca="1" si="58"/>
        <v>0.60920709917119675</v>
      </c>
      <c r="CZ13" s="2">
        <f t="shared" si="59"/>
        <v>0.36129003167991264</v>
      </c>
      <c r="DA13" s="2">
        <f t="shared" si="60"/>
        <v>0.43844493871572765</v>
      </c>
      <c r="DB13" s="2">
        <f t="shared" si="61"/>
        <v>-0.64437936027868714</v>
      </c>
      <c r="DD13" s="2">
        <f t="shared" si="62"/>
        <v>1489.6623601965316</v>
      </c>
      <c r="DE13" s="2">
        <f t="shared" si="63"/>
        <v>15085.825675935726</v>
      </c>
      <c r="DF13" s="2">
        <f t="shared" si="64"/>
        <v>8.5578170522095984</v>
      </c>
      <c r="DG13" s="2">
        <f t="shared" si="65"/>
        <v>1589.5298671370733</v>
      </c>
      <c r="DH13" s="2">
        <f t="shared" si="66"/>
        <v>1316.3798671370732</v>
      </c>
      <c r="DI13" s="2">
        <f t="shared" si="143"/>
        <v>13602.905801982104</v>
      </c>
      <c r="DJ13" s="2">
        <f t="shared" si="67"/>
        <v>8.5578170522095984</v>
      </c>
      <c r="DK13" s="2">
        <f t="shared" si="68"/>
        <v>1589.5298671370733</v>
      </c>
      <c r="DL13" s="2">
        <f t="shared" si="69"/>
        <v>3</v>
      </c>
      <c r="DM13" s="2">
        <f t="shared" si="70"/>
        <v>-0.64437936027868714</v>
      </c>
      <c r="DN13" s="2">
        <f t="shared" si="71"/>
        <v>0.36129003167991264</v>
      </c>
      <c r="DO13" s="2">
        <f t="shared" si="72"/>
        <v>0.43844493871572765</v>
      </c>
      <c r="DP13" s="2">
        <f t="shared" si="73"/>
        <v>3.2063239992743164</v>
      </c>
      <c r="DQ13" s="2">
        <f t="shared" si="74"/>
        <v>15085.899999999994</v>
      </c>
      <c r="DR13" s="2">
        <f t="shared" si="75"/>
        <v>8.557593825037463</v>
      </c>
      <c r="DS13" s="2">
        <f t="shared" si="76"/>
        <v>1489.7170287975432</v>
      </c>
      <c r="DT13" s="2">
        <f t="shared" si="77"/>
        <v>1316.4381141496506</v>
      </c>
      <c r="DU13" s="2">
        <f t="shared" si="78"/>
        <v>1460.4381141496506</v>
      </c>
      <c r="DV13" s="9">
        <f t="shared" ca="1" si="79"/>
        <v>3.2397797477750028</v>
      </c>
      <c r="DW13" s="2">
        <f t="shared" ca="1" si="80"/>
        <v>3.2448945917450995</v>
      </c>
      <c r="DX13" s="2">
        <f t="shared" si="81"/>
        <v>4595.2700000000004</v>
      </c>
      <c r="DY13" s="2">
        <f t="shared" ca="1" si="144"/>
        <v>1416.1538595707268</v>
      </c>
      <c r="DZ13" s="2">
        <f t="shared" ca="1" si="82"/>
        <v>4.8928055428738029</v>
      </c>
      <c r="EB13" s="2">
        <f t="shared" si="83"/>
        <v>0.80605304039059045</v>
      </c>
      <c r="EC13" s="2">
        <f t="shared" si="84"/>
        <v>4.3874287303573905E-3</v>
      </c>
      <c r="ED13" s="2">
        <f t="shared" si="85"/>
        <v>0.15090776339305173</v>
      </c>
      <c r="EE13" s="2">
        <f t="shared" si="86"/>
        <v>0.11601283538235523</v>
      </c>
      <c r="EF13" s="2">
        <f t="shared" si="87"/>
        <v>2.0768724743915048E-3</v>
      </c>
      <c r="EG13" s="2">
        <f t="shared" si="88"/>
        <v>0.3456989247311828</v>
      </c>
      <c r="EH13" s="2">
        <f t="shared" si="89"/>
        <v>0.2004200348708195</v>
      </c>
      <c r="EI13" s="2">
        <f t="shared" si="90"/>
        <v>2.7105517909002903E-2</v>
      </c>
      <c r="EJ13" s="2">
        <f t="shared" si="91"/>
        <v>2.8096249115357394E-3</v>
      </c>
      <c r="EK13" s="2">
        <f t="shared" si="92"/>
        <v>6.3381362808956722E-4</v>
      </c>
      <c r="EL13" s="2">
        <f t="shared" si="93"/>
        <v>4.3680428350007048E-4</v>
      </c>
      <c r="EM13" s="2">
        <f t="shared" si="94"/>
        <v>1.6565426607048772</v>
      </c>
      <c r="EN13" s="2">
        <f t="shared" si="95"/>
        <v>0.48658755340934351</v>
      </c>
      <c r="EO13" s="2">
        <f t="shared" si="95"/>
        <v>2.6485455729166017E-3</v>
      </c>
      <c r="EP13" s="2">
        <f t="shared" si="95"/>
        <v>9.1098024199895225E-2</v>
      </c>
      <c r="EQ13" s="2">
        <f t="shared" si="95"/>
        <v>7.0033110606997878E-2</v>
      </c>
      <c r="ER13" s="2">
        <f t="shared" si="95"/>
        <v>1.2537392025314775E-3</v>
      </c>
      <c r="ES13" s="2">
        <f t="shared" si="95"/>
        <v>0.20868700392182118</v>
      </c>
      <c r="ET13" s="2">
        <f t="shared" si="95"/>
        <v>0.12098694445064188</v>
      </c>
      <c r="EU13" s="2">
        <f t="shared" si="95"/>
        <v>1.6362704415634671E-2</v>
      </c>
      <c r="EV13" s="2">
        <f t="shared" si="95"/>
        <v>1.6960776068032036E-3</v>
      </c>
      <c r="EW13" s="2">
        <f t="shared" si="95"/>
        <v>3.8261231848980728E-4</v>
      </c>
      <c r="EX13" s="2">
        <f t="shared" si="95"/>
        <v>2.6368429492434892E-4</v>
      </c>
      <c r="EY13" s="2">
        <f t="shared" si="96"/>
        <v>0.99999999999999978</v>
      </c>
      <c r="EZ13" s="2">
        <f t="shared" si="97"/>
        <v>0.16416970535966846</v>
      </c>
      <c r="FA13" s="2">
        <f t="shared" si="98"/>
        <v>0.60500114449709175</v>
      </c>
      <c r="FB13" s="2">
        <f t="shared" si="99"/>
        <v>1.5077017760387104</v>
      </c>
      <c r="FC13" s="2">
        <f t="shared" si="100"/>
        <v>0.59539897408905373</v>
      </c>
      <c r="FD13" s="2">
        <f t="shared" si="101"/>
        <v>0.98412867397793136</v>
      </c>
      <c r="FE13" s="2">
        <f t="shared" ca="1" si="102"/>
        <v>0.1292326627625994</v>
      </c>
      <c r="FF13" s="2">
        <f t="shared" ca="1" si="103"/>
        <v>0.1292326627625994</v>
      </c>
      <c r="FG13" s="2">
        <f t="shared" ca="1" si="104"/>
        <v>0.13823298954336632</v>
      </c>
      <c r="FH13" s="2">
        <f t="shared" ca="1" si="105"/>
        <v>-4.1276319328393569</v>
      </c>
      <c r="FI13" s="2">
        <f t="shared" ca="1" si="106"/>
        <v>7.1917479025597163E-3</v>
      </c>
      <c r="FJ13" s="2">
        <f t="shared" ca="1" si="107"/>
        <v>5.5649614801878446E-2</v>
      </c>
      <c r="FK13" s="2">
        <f t="shared" ca="1" si="108"/>
        <v>0.26666545475311937</v>
      </c>
      <c r="FL13" s="2">
        <f t="shared" ca="1" si="109"/>
        <v>9.4318611148231077E-2</v>
      </c>
      <c r="FM13" s="2">
        <f t="shared" ca="1" si="145"/>
        <v>0.35369639924133356</v>
      </c>
      <c r="FN13" s="2">
        <f t="shared" ca="1" si="146"/>
        <v>9.4318611148231077E-2</v>
      </c>
      <c r="FO13" s="2">
        <f t="shared" ca="1" si="110"/>
        <v>9.4318611148231021E-2</v>
      </c>
      <c r="FP13" s="2">
        <f t="shared" ca="1" si="147"/>
        <v>1.8276212975135901</v>
      </c>
      <c r="FQ13" s="2">
        <f t="shared" ca="1" si="111"/>
        <v>0.17237870248640985</v>
      </c>
      <c r="FR13" s="2">
        <f t="shared" si="148"/>
        <v>0.33333333333333331</v>
      </c>
      <c r="FS13" s="2">
        <f t="shared" ca="1" si="112"/>
        <v>5.7459567495469953E-2</v>
      </c>
      <c r="FT13" s="2">
        <f t="shared" ca="1" si="113"/>
        <v>0.60920709917119675</v>
      </c>
      <c r="FU13" s="2">
        <f t="shared" si="114"/>
        <v>20.026666666666664</v>
      </c>
      <c r="FV13" s="2">
        <f t="shared" ca="1" si="115"/>
        <v>4.128469924549516</v>
      </c>
      <c r="FW13" s="2">
        <f t="shared" ca="1" si="116"/>
        <v>24.551046096599226</v>
      </c>
      <c r="FX13" s="2">
        <f t="shared" ca="1" si="117"/>
        <v>48.706182687815406</v>
      </c>
      <c r="FY13" s="2">
        <f t="shared" ca="1" si="118"/>
        <v>41.11729879351978</v>
      </c>
      <c r="FZ13" s="2">
        <f t="shared" ca="1" si="118"/>
        <v>8.476274872558049</v>
      </c>
      <c r="GA13" s="2">
        <f t="shared" ca="1" si="118"/>
        <v>50.40642633392217</v>
      </c>
      <c r="GB13" s="2">
        <f t="shared" ca="1" si="119"/>
        <v>91.381064875679513</v>
      </c>
      <c r="GC13" s="2">
        <f t="shared" si="120"/>
        <v>3000000000</v>
      </c>
      <c r="GD13" s="2">
        <f t="shared" si="149"/>
        <v>38</v>
      </c>
      <c r="GE13">
        <f t="shared" si="150"/>
        <v>1473.0934573999998</v>
      </c>
      <c r="GF13">
        <f t="shared" si="151"/>
        <v>1472.7640000000001</v>
      </c>
      <c r="GG13">
        <f t="shared" si="152"/>
        <v>1824.7890000000002</v>
      </c>
      <c r="GH13" s="2">
        <f t="shared" si="153"/>
        <v>-3.5179697075284101E-2</v>
      </c>
      <c r="GI13" s="2">
        <f t="shared" si="154"/>
        <v>1.2889999999999999</v>
      </c>
      <c r="GJ13" s="2">
        <f t="shared" si="155"/>
        <v>-1.7580000000000005</v>
      </c>
      <c r="GK13" s="2">
        <f t="shared" si="156"/>
        <v>1.4749999999999996</v>
      </c>
      <c r="GL13" s="2">
        <f t="shared" si="157"/>
        <v>3.5179697075284101E-2</v>
      </c>
      <c r="GM13">
        <f t="shared" si="158"/>
        <v>0.39728813559322051</v>
      </c>
      <c r="GN13">
        <f t="shared" si="159"/>
        <v>6.2707110191402335E-2</v>
      </c>
      <c r="GO13">
        <f t="shared" si="160"/>
        <v>-0.17359471416259706</v>
      </c>
      <c r="GP13">
        <f t="shared" si="161"/>
        <v>1.1925321042469191E-2</v>
      </c>
      <c r="GQ13">
        <f t="shared" si="162"/>
        <v>0.29129943502824862</v>
      </c>
      <c r="GR13">
        <f t="shared" si="163"/>
        <v>0.15783786268313718</v>
      </c>
      <c r="GS13">
        <f t="shared" si="164"/>
        <v>-0.12281292501366392</v>
      </c>
      <c r="GT13">
        <f t="shared" si="165"/>
        <v>2.3772163645384482E-3</v>
      </c>
      <c r="GU13">
        <f t="shared" si="166"/>
        <v>0.21047693589669469</v>
      </c>
      <c r="GV13">
        <f t="shared" si="167"/>
        <v>-0.63409119757718457</v>
      </c>
      <c r="GW13">
        <f t="shared" si="168"/>
        <v>-2.6326126087269364E-2</v>
      </c>
      <c r="GY13" s="15">
        <f t="shared" si="169"/>
        <v>0.126113471871514</v>
      </c>
      <c r="GZ13" s="2">
        <f t="shared" si="170"/>
        <v>9.4129182091301639E-2</v>
      </c>
      <c r="HA13" s="2">
        <f t="shared" si="171"/>
        <v>7.0291778361608909E-2</v>
      </c>
      <c r="HB13" s="2">
        <f t="shared" si="172"/>
        <v>0.29053443232442455</v>
      </c>
      <c r="HC13" s="2">
        <f t="shared" si="173"/>
        <v>0.43407409876530473</v>
      </c>
      <c r="HD13" s="2">
        <f t="shared" si="174"/>
        <v>0.32398632182154752</v>
      </c>
      <c r="HE13" s="2">
        <f t="shared" si="175"/>
        <v>0.24193957941314773</v>
      </c>
      <c r="HF13" s="2">
        <f t="shared" si="176"/>
        <v>-1.2801721483777651</v>
      </c>
      <c r="HG13" s="2">
        <f t="shared" si="177"/>
        <v>-1.2824227068107696</v>
      </c>
      <c r="HH13" s="2">
        <f t="shared" si="178"/>
        <v>-1.2812974275942675</v>
      </c>
      <c r="HI13" s="2">
        <f t="shared" si="179"/>
        <v>2.6538103089324325</v>
      </c>
      <c r="HJ13" s="2">
        <f t="shared" si="180"/>
        <v>0.15447302299557519</v>
      </c>
      <c r="HK13" s="2">
        <f t="shared" si="181"/>
        <v>0.32997599863243077</v>
      </c>
      <c r="HL13" s="2">
        <f t="shared" si="182"/>
        <v>0.96214727598217531</v>
      </c>
    </row>
    <row r="14" spans="1:220" s="2" customFormat="1" ht="20.25">
      <c r="A14" s="99" t="s">
        <v>161</v>
      </c>
      <c r="B14" s="77">
        <v>58</v>
      </c>
      <c r="C14" s="94">
        <f t="shared" si="126"/>
        <v>-3.8493110841939382</v>
      </c>
      <c r="D14" s="59">
        <f t="shared" si="1"/>
        <v>-3.6783230860964524</v>
      </c>
      <c r="E14" s="60">
        <f t="shared" si="2"/>
        <v>-3.8493110841939382</v>
      </c>
      <c r="F14" s="66">
        <v>47.112243920801525</v>
      </c>
      <c r="G14" s="66">
        <v>0.78509731026908292</v>
      </c>
      <c r="H14" s="66">
        <v>11.894764333660174</v>
      </c>
      <c r="I14" s="66">
        <v>10.20132222169986</v>
      </c>
      <c r="J14" s="66">
        <v>0.17246707772331782</v>
      </c>
      <c r="K14" s="66">
        <v>18.635918645568736</v>
      </c>
      <c r="L14" s="66">
        <v>9.824058163675307</v>
      </c>
      <c r="M14" s="66">
        <v>1.2102940622992415</v>
      </c>
      <c r="N14" s="66">
        <v>5.9062872146363223E-2</v>
      </c>
      <c r="O14" s="66"/>
      <c r="P14" s="66">
        <v>6.560302005140882E-2</v>
      </c>
      <c r="Q14" s="66">
        <v>0.17477777777777778</v>
      </c>
      <c r="R14" s="3">
        <f t="shared" si="3"/>
        <v>99.960831627895004</v>
      </c>
      <c r="S14" s="135">
        <v>3</v>
      </c>
      <c r="T14" s="288">
        <f t="shared" si="127"/>
        <v>0.35119571987119369</v>
      </c>
      <c r="U14" s="54">
        <f t="shared" si="4"/>
        <v>1547.380628808955</v>
      </c>
      <c r="V14" s="54">
        <f t="shared" ca="1" si="4"/>
        <v>1540.4124127381067</v>
      </c>
      <c r="W14" s="54">
        <f t="shared" si="5"/>
        <v>1543.8973076978439</v>
      </c>
      <c r="X14" s="101">
        <f t="shared" ca="1" si="6"/>
        <v>1675.3863389049361</v>
      </c>
      <c r="Y14" s="101">
        <f t="shared" ca="1" si="7"/>
        <v>1588.1442880219586</v>
      </c>
      <c r="Z14" s="50">
        <f t="shared" ca="1" si="8"/>
        <v>1657.640788382253</v>
      </c>
      <c r="AA14" s="50">
        <f t="shared" ca="1" si="9"/>
        <v>1629.490112888147</v>
      </c>
      <c r="AB14" s="103">
        <f t="shared" ca="1" si="128"/>
        <v>54.02253658211594</v>
      </c>
      <c r="AC14" s="283">
        <v>13.3</v>
      </c>
      <c r="AD14" s="283">
        <f t="shared" ca="1" si="10"/>
        <v>12.03788606993472</v>
      </c>
      <c r="AE14" s="3">
        <f t="shared" ca="1" si="11"/>
        <v>114.79530545479177</v>
      </c>
      <c r="AF14" s="3">
        <f t="shared" ca="1" si="12"/>
        <v>213.67378224439693</v>
      </c>
      <c r="AG14" s="3">
        <f t="shared" ca="1" si="13"/>
        <v>537.24562858858644</v>
      </c>
      <c r="AH14" s="3">
        <f t="shared" ca="1" si="14"/>
        <v>125.19135835984434</v>
      </c>
      <c r="AI14" s="85">
        <f t="shared" si="129"/>
        <v>0.37197946058551823</v>
      </c>
      <c r="AJ14" s="85">
        <f t="shared" ca="1" si="15"/>
        <v>2.5977479077116188</v>
      </c>
      <c r="AK14" s="85">
        <f t="shared" si="16"/>
        <v>0.29869870443819369</v>
      </c>
      <c r="AL14" s="86">
        <f t="shared" ca="1" si="130"/>
        <v>0.28356983087916304</v>
      </c>
      <c r="AM14" s="85">
        <f t="shared" si="17"/>
        <v>0.35119571987119369</v>
      </c>
      <c r="AN14" s="85">
        <f t="shared" ca="1" si="131"/>
        <v>0.3511957198711938</v>
      </c>
      <c r="AO14" s="123">
        <f t="shared" ca="1" si="18"/>
        <v>41.225852425883289</v>
      </c>
      <c r="AP14" s="123">
        <f t="shared" ca="1" si="19"/>
        <v>7.8974139869588296</v>
      </c>
      <c r="AQ14" s="123">
        <f t="shared" ca="1" si="20"/>
        <v>50.876733587157879</v>
      </c>
      <c r="AS14" s="53">
        <f t="shared" ca="1" si="132"/>
        <v>80.133958444442015</v>
      </c>
      <c r="AT14" s="53">
        <f t="shared" ca="1" si="21"/>
        <v>91.990813325290773</v>
      </c>
      <c r="AU14" s="63">
        <f t="shared" ca="1" si="22"/>
        <v>0.3511957198711938</v>
      </c>
      <c r="AV14" s="53">
        <f t="shared" si="23"/>
        <v>2.4307231148456938</v>
      </c>
      <c r="AW14" s="53">
        <f t="shared" ca="1" si="24"/>
        <v>2.4542043704392738</v>
      </c>
      <c r="AX14" s="54">
        <f t="shared" si="25"/>
        <v>1586.1475041327917</v>
      </c>
      <c r="AY14" s="54">
        <f t="shared" si="133"/>
        <v>1547.380628808955</v>
      </c>
      <c r="AZ14" s="54">
        <f t="shared" ca="1" si="26"/>
        <v>1540.4124127381067</v>
      </c>
      <c r="BA14" s="34"/>
      <c r="BB14" s="63">
        <f t="shared" ca="1" si="27"/>
        <v>0.23302443370035078</v>
      </c>
      <c r="BC14" s="63">
        <f t="shared" ca="1" si="28"/>
        <v>5.0901911546804207E-2</v>
      </c>
      <c r="BD14" s="53">
        <f t="shared" si="29"/>
        <v>0.15788313762105177</v>
      </c>
      <c r="BE14" s="53">
        <f t="shared" ca="1" si="30"/>
        <v>0.25934142987813952</v>
      </c>
      <c r="BF14" s="53">
        <f t="shared" ca="1" si="31"/>
        <v>0.12995977351898558</v>
      </c>
      <c r="BG14"/>
      <c r="BH14" s="53">
        <f t="shared" si="32"/>
        <v>0.1599761909220748</v>
      </c>
      <c r="BI14" s="53">
        <f t="shared" si="33"/>
        <v>0.20670743752256204</v>
      </c>
      <c r="BJ14"/>
      <c r="BK14" s="53">
        <f t="shared" si="134"/>
        <v>0.21694751798826828</v>
      </c>
      <c r="BL14" s="53">
        <f t="shared" si="135"/>
        <v>0.19531253917285188</v>
      </c>
      <c r="BM14" s="53">
        <f t="shared" si="136"/>
        <v>0.32101701153354506</v>
      </c>
      <c r="BN14" s="53">
        <f t="shared" si="137"/>
        <v>0.29458251176045513</v>
      </c>
      <c r="BO14" s="53">
        <f t="shared" si="138"/>
        <v>0.31011255121694631</v>
      </c>
      <c r="BP14" s="53">
        <f t="shared" si="139"/>
        <v>0.3194927400839368</v>
      </c>
      <c r="BQ14" s="54">
        <f t="shared" si="140"/>
        <v>1419.1488207495961</v>
      </c>
      <c r="BR14" s="262">
        <f t="shared" si="141"/>
        <v>4.0728400863617091</v>
      </c>
      <c r="BS14" s="54">
        <f t="shared" si="142"/>
        <v>1607.4327707059779</v>
      </c>
      <c r="BT14"/>
      <c r="BU14" s="2">
        <f t="shared" si="37"/>
        <v>0.78415852065248881</v>
      </c>
      <c r="BV14" s="2">
        <f t="shared" si="38"/>
        <v>9.8259988769597347E-3</v>
      </c>
      <c r="BW14" s="2">
        <f t="shared" si="39"/>
        <v>0.23332217210004266</v>
      </c>
      <c r="BX14" s="2">
        <f t="shared" si="40"/>
        <v>0.14198082424077746</v>
      </c>
      <c r="BY14" s="2">
        <f t="shared" si="41"/>
        <v>2.4311682791558755E-3</v>
      </c>
      <c r="BZ14" s="2">
        <f t="shared" si="42"/>
        <v>0.46242974306622175</v>
      </c>
      <c r="CA14" s="2">
        <f t="shared" si="43"/>
        <v>0.1751793538458507</v>
      </c>
      <c r="CB14" s="2">
        <f t="shared" si="44"/>
        <v>3.9054342120014247E-2</v>
      </c>
      <c r="CC14" s="2">
        <f t="shared" si="45"/>
        <v>1.2539887929164165E-3</v>
      </c>
      <c r="CD14" s="2">
        <f t="shared" si="46"/>
        <v>0</v>
      </c>
      <c r="CE14" s="2">
        <f t="shared" si="47"/>
        <v>9.2437677964504468E-4</v>
      </c>
      <c r="CF14" s="2">
        <f t="shared" si="48"/>
        <v>1.8505604887540725</v>
      </c>
      <c r="CG14" s="2">
        <f t="shared" si="49"/>
        <v>0.42374109110069647</v>
      </c>
      <c r="CH14" s="2">
        <f t="shared" si="49"/>
        <v>5.3097420682397083E-3</v>
      </c>
      <c r="CI14" s="2">
        <f t="shared" si="49"/>
        <v>0.12608189438710624</v>
      </c>
      <c r="CJ14" s="2">
        <f t="shared" si="49"/>
        <v>7.672314690797756E-2</v>
      </c>
      <c r="CK14" s="2">
        <f t="shared" si="49"/>
        <v>1.3137469939135623E-3</v>
      </c>
      <c r="CL14" s="2">
        <f t="shared" si="49"/>
        <v>0.24988631599800445</v>
      </c>
      <c r="CM14" s="2">
        <f t="shared" si="49"/>
        <v>9.4662862905818213E-2</v>
      </c>
      <c r="CN14" s="2">
        <f t="shared" si="49"/>
        <v>2.1104061368082259E-2</v>
      </c>
      <c r="CO14" s="2">
        <f t="shared" si="49"/>
        <v>6.7762648156434479E-4</v>
      </c>
      <c r="CP14" s="2">
        <f t="shared" si="50"/>
        <v>0</v>
      </c>
      <c r="CQ14" s="2">
        <f t="shared" si="51"/>
        <v>4.9951178859730227E-4</v>
      </c>
      <c r="CS14" s="2">
        <f t="shared" ca="1" si="52"/>
        <v>0.6861826302577112</v>
      </c>
      <c r="CT14" s="2">
        <f t="shared" ca="1" si="53"/>
        <v>0.10991529557353974</v>
      </c>
      <c r="CU14" s="2">
        <f t="shared" ca="1" si="54"/>
        <v>1.262449964941883</v>
      </c>
      <c r="CV14" s="2">
        <f t="shared" ca="1" si="55"/>
        <v>2.0585478907731338</v>
      </c>
      <c r="CW14" s="2">
        <f t="shared" ca="1" si="56"/>
        <v>0.33333333333333331</v>
      </c>
      <c r="CX14" s="2">
        <f t="shared" ca="1" si="57"/>
        <v>5.339457783139482E-2</v>
      </c>
      <c r="CY14" s="2">
        <f t="shared" ca="1" si="58"/>
        <v>0.61327208883527196</v>
      </c>
      <c r="CZ14" s="2">
        <f t="shared" si="59"/>
        <v>0.42258607280571381</v>
      </c>
      <c r="DA14" s="2">
        <f t="shared" si="60"/>
        <v>0.42374109110069647</v>
      </c>
      <c r="DB14" s="2">
        <f t="shared" si="61"/>
        <v>-0.50895735129616548</v>
      </c>
      <c r="DD14" s="2">
        <f t="shared" si="62"/>
        <v>1586.1475041327917</v>
      </c>
      <c r="DE14" s="2">
        <f t="shared" si="63"/>
        <v>15085.825675935726</v>
      </c>
      <c r="DF14" s="2">
        <f t="shared" si="64"/>
        <v>8.1137234048899636</v>
      </c>
      <c r="DG14" s="2">
        <f t="shared" si="65"/>
        <v>1676.5306288089548</v>
      </c>
      <c r="DH14" s="2">
        <f t="shared" si="66"/>
        <v>1403.380628808955</v>
      </c>
      <c r="DI14" s="2">
        <f t="shared" si="143"/>
        <v>13602.905801982104</v>
      </c>
      <c r="DJ14" s="2">
        <f t="shared" si="67"/>
        <v>8.1137234048899636</v>
      </c>
      <c r="DK14" s="2">
        <f t="shared" si="68"/>
        <v>1676.5306288089548</v>
      </c>
      <c r="DL14" s="2">
        <f t="shared" si="69"/>
        <v>3</v>
      </c>
      <c r="DM14" s="2">
        <f t="shared" si="70"/>
        <v>-0.50895735129616548</v>
      </c>
      <c r="DN14" s="2">
        <f t="shared" si="71"/>
        <v>0.42258607280571381</v>
      </c>
      <c r="DO14" s="2">
        <f t="shared" si="72"/>
        <v>0.42374109110069647</v>
      </c>
      <c r="DP14" s="2">
        <f t="shared" si="73"/>
        <v>2.4307231148456938</v>
      </c>
      <c r="DQ14" s="2">
        <f t="shared" si="74"/>
        <v>15085.899999999994</v>
      </c>
      <c r="DR14" s="2">
        <f t="shared" si="75"/>
        <v>8.1135001777178282</v>
      </c>
      <c r="DS14" s="2">
        <f t="shared" si="76"/>
        <v>1586.2078196288853</v>
      </c>
      <c r="DT14" s="2">
        <f t="shared" si="77"/>
        <v>1403.4444576371811</v>
      </c>
      <c r="DU14" s="2">
        <f t="shared" si="78"/>
        <v>1547.4444576371811</v>
      </c>
      <c r="DV14" s="9">
        <f t="shared" ca="1" si="79"/>
        <v>2.4542043704392738</v>
      </c>
      <c r="DW14" s="2">
        <f t="shared" ca="1" si="80"/>
        <v>3.0017339594951302</v>
      </c>
      <c r="DX14" s="2">
        <f t="shared" si="81"/>
        <v>4595.2700000000004</v>
      </c>
      <c r="DY14" s="2">
        <f t="shared" ca="1" si="144"/>
        <v>1530.8718434104305</v>
      </c>
      <c r="DZ14" s="2">
        <f t="shared" ca="1" si="82"/>
        <v>3.7701656730049407</v>
      </c>
      <c r="EB14" s="2">
        <f t="shared" si="83"/>
        <v>0.78415852065248881</v>
      </c>
      <c r="EC14" s="2">
        <f t="shared" si="84"/>
        <v>9.8259988769597347E-3</v>
      </c>
      <c r="ED14" s="2">
        <f t="shared" si="85"/>
        <v>0.11666108605002133</v>
      </c>
      <c r="EE14" s="2">
        <f t="shared" si="86"/>
        <v>0.14198082424077746</v>
      </c>
      <c r="EF14" s="2">
        <f t="shared" si="87"/>
        <v>2.4311682791558755E-3</v>
      </c>
      <c r="EG14" s="2">
        <f t="shared" si="88"/>
        <v>0.46242974306622175</v>
      </c>
      <c r="EH14" s="2">
        <f t="shared" si="89"/>
        <v>0.1751793538458507</v>
      </c>
      <c r="EI14" s="2">
        <f t="shared" si="90"/>
        <v>1.9527171060007124E-2</v>
      </c>
      <c r="EJ14" s="2">
        <f t="shared" si="91"/>
        <v>6.2699439645820824E-4</v>
      </c>
      <c r="EK14" s="2">
        <f t="shared" si="92"/>
        <v>0</v>
      </c>
      <c r="EL14" s="2">
        <f t="shared" si="93"/>
        <v>4.6218838982252234E-4</v>
      </c>
      <c r="EM14" s="2">
        <f t="shared" si="94"/>
        <v>1.7132830488577639</v>
      </c>
      <c r="EN14" s="2">
        <f t="shared" si="95"/>
        <v>0.45769350322778413</v>
      </c>
      <c r="EO14" s="2">
        <f t="shared" si="95"/>
        <v>5.7351871213053044E-3</v>
      </c>
      <c r="EP14" s="2">
        <f t="shared" si="95"/>
        <v>6.8092126474839407E-2</v>
      </c>
      <c r="EQ14" s="2">
        <f t="shared" si="95"/>
        <v>8.2870617517307066E-2</v>
      </c>
      <c r="ER14" s="2">
        <f t="shared" si="95"/>
        <v>1.4190114591845881E-3</v>
      </c>
      <c r="ES14" s="2">
        <f t="shared" si="95"/>
        <v>0.26990854977204204</v>
      </c>
      <c r="ET14" s="2">
        <f t="shared" si="95"/>
        <v>0.10224775991488493</v>
      </c>
      <c r="EU14" s="2">
        <f t="shared" si="95"/>
        <v>1.1397516057271318E-2</v>
      </c>
      <c r="EV14" s="2">
        <f t="shared" si="95"/>
        <v>3.6596077739531823E-4</v>
      </c>
      <c r="EW14" s="2">
        <f t="shared" si="95"/>
        <v>0</v>
      </c>
      <c r="EX14" s="2">
        <f t="shared" si="95"/>
        <v>2.6976767798564323E-4</v>
      </c>
      <c r="EY14" s="2">
        <f t="shared" si="96"/>
        <v>0.99999999999999967</v>
      </c>
      <c r="EZ14" s="2">
        <f t="shared" si="97"/>
        <v>0.12608189438710624</v>
      </c>
      <c r="FA14" s="2">
        <f t="shared" si="98"/>
        <v>0.55513272755604237</v>
      </c>
      <c r="FB14" s="2">
        <f t="shared" si="99"/>
        <v>1.4819502041205619</v>
      </c>
      <c r="FC14" s="2">
        <f t="shared" si="100"/>
        <v>0.74336949801695429</v>
      </c>
      <c r="FD14" s="2">
        <f t="shared" si="101"/>
        <v>1.3390842606048818</v>
      </c>
      <c r="FE14" s="2">
        <f t="shared" ca="1" si="102"/>
        <v>0.11924027457781293</v>
      </c>
      <c r="FF14" s="2">
        <f t="shared" ca="1" si="103"/>
        <v>0.11924027457781293</v>
      </c>
      <c r="FG14" s="2">
        <f t="shared" ca="1" si="104"/>
        <v>0.14495130118636262</v>
      </c>
      <c r="FH14" s="2">
        <f t="shared" ca="1" si="105"/>
        <v>-3.3184602812133281</v>
      </c>
      <c r="FI14" s="2">
        <f t="shared" ca="1" si="106"/>
        <v>7.9787407189670055E-3</v>
      </c>
      <c r="FJ14" s="2">
        <f t="shared" ca="1" si="107"/>
        <v>6.6913136079373048E-2</v>
      </c>
      <c r="FK14" s="2">
        <f t="shared" ca="1" si="108"/>
        <v>0.24791039830300374</v>
      </c>
      <c r="FL14" s="2">
        <f t="shared" ca="1" si="109"/>
        <v>8.7065070795577779E-2</v>
      </c>
      <c r="FM14" s="2">
        <f t="shared" ca="1" si="145"/>
        <v>0.3511957198711938</v>
      </c>
      <c r="FN14" s="2">
        <f t="shared" ca="1" si="146"/>
        <v>8.7065070795577806E-2</v>
      </c>
      <c r="FO14" s="2">
        <f t="shared" ca="1" si="110"/>
        <v>8.7065070795577751E-2</v>
      </c>
      <c r="FP14" s="2">
        <f t="shared" ca="1" si="147"/>
        <v>1.8398162665058155</v>
      </c>
      <c r="FQ14" s="2">
        <f t="shared" ca="1" si="111"/>
        <v>0.16018373349418447</v>
      </c>
      <c r="FR14" s="2">
        <f t="shared" si="148"/>
        <v>0.33333333333333331</v>
      </c>
      <c r="FS14" s="2">
        <f t="shared" ca="1" si="112"/>
        <v>5.339457783139482E-2</v>
      </c>
      <c r="FT14" s="2">
        <f t="shared" ca="1" si="113"/>
        <v>0.61327208883527184</v>
      </c>
      <c r="FU14" s="2">
        <f t="shared" si="114"/>
        <v>20.026666666666664</v>
      </c>
      <c r="FV14" s="2">
        <f t="shared" ca="1" si="115"/>
        <v>3.8364004171857173</v>
      </c>
      <c r="FW14" s="2">
        <f t="shared" ca="1" si="116"/>
        <v>24.714865180061455</v>
      </c>
      <c r="FX14" s="2">
        <f t="shared" ca="1" si="117"/>
        <v>48.577932263913837</v>
      </c>
      <c r="FY14" s="2">
        <f t="shared" ca="1" si="118"/>
        <v>41.225852425883289</v>
      </c>
      <c r="FZ14" s="2">
        <f t="shared" ca="1" si="118"/>
        <v>7.8974139869588296</v>
      </c>
      <c r="GA14" s="2">
        <f t="shared" ca="1" si="118"/>
        <v>50.876733587157879</v>
      </c>
      <c r="GB14" s="2">
        <f t="shared" ca="1" si="119"/>
        <v>91.990813325290759</v>
      </c>
      <c r="GC14" s="2">
        <f t="shared" si="120"/>
        <v>3000000000</v>
      </c>
      <c r="GD14" s="2">
        <f t="shared" si="149"/>
        <v>38</v>
      </c>
      <c r="GE14">
        <f t="shared" si="150"/>
        <v>1473.0934573999998</v>
      </c>
      <c r="GF14">
        <f t="shared" si="151"/>
        <v>1472.7640000000001</v>
      </c>
      <c r="GG14">
        <f t="shared" si="152"/>
        <v>1824.7890000000002</v>
      </c>
      <c r="GH14" s="2">
        <f t="shared" si="153"/>
        <v>0.21196400485464045</v>
      </c>
      <c r="GI14" s="2">
        <f t="shared" si="154"/>
        <v>1.2889999999999999</v>
      </c>
      <c r="GJ14" s="2">
        <f t="shared" si="155"/>
        <v>-1.7580000000000005</v>
      </c>
      <c r="GK14" s="2">
        <f t="shared" si="156"/>
        <v>1.4749999999999996</v>
      </c>
      <c r="GL14" s="2">
        <f t="shared" si="157"/>
        <v>-0.21196400485464045</v>
      </c>
      <c r="GM14">
        <f t="shared" si="158"/>
        <v>0.39728813559322051</v>
      </c>
      <c r="GN14">
        <f t="shared" si="159"/>
        <v>6.2707110191402335E-2</v>
      </c>
      <c r="GO14">
        <f t="shared" si="160"/>
        <v>-0.17359471416259706</v>
      </c>
      <c r="GP14">
        <f t="shared" si="161"/>
        <v>-7.1852205035471364E-2</v>
      </c>
      <c r="GQ14">
        <f t="shared" si="162"/>
        <v>0.29129943502824862</v>
      </c>
      <c r="GR14">
        <f t="shared" si="163"/>
        <v>0.15783786268313718</v>
      </c>
      <c r="GS14">
        <f t="shared" si="164"/>
        <v>-3.9035398935723359E-2</v>
      </c>
      <c r="GT14">
        <f t="shared" si="165"/>
        <v>2.3772163645384482E-3</v>
      </c>
      <c r="GU14">
        <f t="shared" si="166"/>
        <v>0.28611715701939439</v>
      </c>
      <c r="GV14">
        <f t="shared" si="167"/>
        <v>-0.46645777462434662</v>
      </c>
      <c r="GW14">
        <f t="shared" si="168"/>
        <v>0.21694751798826828</v>
      </c>
      <c r="GY14" s="15">
        <f t="shared" si="169"/>
        <v>0.16402317763975235</v>
      </c>
      <c r="GZ14" s="2">
        <f t="shared" si="170"/>
        <v>7.3827313596144709E-2</v>
      </c>
      <c r="HA14" s="2">
        <f t="shared" si="171"/>
        <v>5.8984162571956253E-2</v>
      </c>
      <c r="HB14" s="2">
        <f t="shared" si="172"/>
        <v>0.29683465380785334</v>
      </c>
      <c r="HC14" s="2">
        <f t="shared" si="173"/>
        <v>0.55257422115521471</v>
      </c>
      <c r="HD14" s="2">
        <f t="shared" si="174"/>
        <v>0.2487152785197867</v>
      </c>
      <c r="HE14" s="2">
        <f t="shared" si="175"/>
        <v>0.19871050032499848</v>
      </c>
      <c r="HF14" s="2">
        <f t="shared" si="176"/>
        <v>-1.3405710599021601</v>
      </c>
      <c r="HG14" s="2">
        <f t="shared" si="177"/>
        <v>-1.3352272914966066</v>
      </c>
      <c r="HH14" s="2">
        <f t="shared" si="178"/>
        <v>-1.3378991756993832</v>
      </c>
      <c r="HI14" s="2">
        <f t="shared" si="179"/>
        <v>2.357519724117858</v>
      </c>
      <c r="HJ14" s="2">
        <f t="shared" si="180"/>
        <v>0.19080780267285316</v>
      </c>
      <c r="HK14" s="2">
        <f t="shared" si="181"/>
        <v>0.34192159160533264</v>
      </c>
      <c r="HL14" s="2">
        <f t="shared" si="182"/>
        <v>0.78617259858140398</v>
      </c>
    </row>
    <row r="15" spans="1:220" s="2" customFormat="1" ht="20.25">
      <c r="A15" s="99" t="s">
        <v>162</v>
      </c>
      <c r="B15" s="77">
        <v>190</v>
      </c>
      <c r="C15" s="94">
        <f t="shared" si="126"/>
        <v>-4.257310680029688</v>
      </c>
      <c r="D15" s="59">
        <f t="shared" si="1"/>
        <v>-4.0789489583629148</v>
      </c>
      <c r="E15" s="60">
        <f t="shared" si="2"/>
        <v>-4.257310680029688</v>
      </c>
      <c r="F15" s="66">
        <v>48.861916568909017</v>
      </c>
      <c r="G15" s="66">
        <v>0.50551694293478822</v>
      </c>
      <c r="H15" s="66">
        <v>14.153577137575523</v>
      </c>
      <c r="I15" s="66">
        <v>8.9331910379128168</v>
      </c>
      <c r="J15" s="66">
        <v>0.15306062576654053</v>
      </c>
      <c r="K15" s="66">
        <v>15.478622870252501</v>
      </c>
      <c r="L15" s="66">
        <v>10.168609728120389</v>
      </c>
      <c r="M15" s="66">
        <v>1.4255116386831364</v>
      </c>
      <c r="N15" s="66">
        <v>0.21287693361430565</v>
      </c>
      <c r="O15" s="66"/>
      <c r="P15" s="66">
        <v>8.1970880971906537E-2</v>
      </c>
      <c r="Q15" s="66">
        <v>0.17477777777777778</v>
      </c>
      <c r="R15" s="3">
        <f t="shared" si="3"/>
        <v>99.974854364740935</v>
      </c>
      <c r="S15" s="135">
        <v>3</v>
      </c>
      <c r="T15" s="288">
        <f t="shared" si="127"/>
        <v>0.35518038430995047</v>
      </c>
      <c r="U15" s="54">
        <f t="shared" si="4"/>
        <v>1489.7839921542218</v>
      </c>
      <c r="V15" s="54">
        <f t="shared" ca="1" si="4"/>
        <v>1483.219961690801</v>
      </c>
      <c r="W15" s="54">
        <f t="shared" si="5"/>
        <v>1486.3006710431107</v>
      </c>
      <c r="X15" s="101">
        <f t="shared" ca="1" si="6"/>
        <v>1541.8155918185837</v>
      </c>
      <c r="Y15" s="101">
        <f t="shared" ca="1" si="7"/>
        <v>1456.4505438982965</v>
      </c>
      <c r="Z15" s="50">
        <f t="shared" ca="1" si="8"/>
        <v>1541.5990589741236</v>
      </c>
      <c r="AA15" s="50">
        <f t="shared" ca="1" si="9"/>
        <v>1523.9301288653553</v>
      </c>
      <c r="AB15" s="103">
        <f t="shared" ca="1" si="128"/>
        <v>52.298270302269195</v>
      </c>
      <c r="AC15" s="283">
        <v>13.3</v>
      </c>
      <c r="AD15" s="283">
        <f t="shared" ca="1" si="10"/>
        <v>11.61438781360472</v>
      </c>
      <c r="AE15" s="3">
        <f t="shared" ca="1" si="11"/>
        <v>110.53996178472902</v>
      </c>
      <c r="AF15" s="3">
        <f t="shared" ca="1" si="12"/>
        <v>213.24246544705483</v>
      </c>
      <c r="AG15" s="3">
        <f t="shared" ca="1" si="13"/>
        <v>518.3768699774979</v>
      </c>
      <c r="AH15" s="3">
        <f t="shared" ca="1" si="14"/>
        <v>75.553330615368353</v>
      </c>
      <c r="AI15" s="85">
        <f t="shared" si="129"/>
        <v>0.31356437876180843</v>
      </c>
      <c r="AJ15" s="85">
        <f t="shared" ca="1" si="15"/>
        <v>1.9392898918792576</v>
      </c>
      <c r="AK15" s="85">
        <f t="shared" si="16"/>
        <v>0.30511126765551488</v>
      </c>
      <c r="AL15" s="86">
        <f t="shared" ca="1" si="130"/>
        <v>0.28538340128988621</v>
      </c>
      <c r="AM15" s="85">
        <f t="shared" si="17"/>
        <v>0.35518038430995047</v>
      </c>
      <c r="AN15" s="85">
        <f t="shared" ca="1" si="131"/>
        <v>0.35518038430995041</v>
      </c>
      <c r="AO15" s="123">
        <f t="shared" ca="1" si="18"/>
        <v>41.14610373563189</v>
      </c>
      <c r="AP15" s="123">
        <f t="shared" ca="1" si="19"/>
        <v>8.3226728793532736</v>
      </c>
      <c r="AQ15" s="123">
        <f t="shared" ca="1" si="20"/>
        <v>50.531223385014826</v>
      </c>
      <c r="AS15" s="53">
        <f t="shared" ca="1" si="132"/>
        <v>79.359084262558781</v>
      </c>
      <c r="AT15" s="53">
        <f t="shared" ca="1" si="21"/>
        <v>91.543176545402972</v>
      </c>
      <c r="AU15" s="63">
        <f t="shared" ca="1" si="22"/>
        <v>0.35518038430995041</v>
      </c>
      <c r="AV15" s="53">
        <f t="shared" si="23"/>
        <v>2.8987028299250359</v>
      </c>
      <c r="AW15" s="53">
        <f t="shared" ca="1" si="24"/>
        <v>2.924933886354804</v>
      </c>
      <c r="AX15" s="54">
        <f t="shared" si="25"/>
        <v>1522.2719739525487</v>
      </c>
      <c r="AY15" s="54">
        <f t="shared" si="133"/>
        <v>1489.7839921542218</v>
      </c>
      <c r="AZ15" s="54">
        <f t="shared" ca="1" si="26"/>
        <v>1483.219961690801</v>
      </c>
      <c r="BA15" s="34"/>
      <c r="BB15" s="63">
        <f t="shared" ca="1" si="27"/>
        <v>0.14574981059368647</v>
      </c>
      <c r="BC15" s="63">
        <f t="shared" ca="1" si="28"/>
        <v>5.2713891862703081E-2</v>
      </c>
      <c r="BD15" s="53">
        <f t="shared" si="29"/>
        <v>0.12865898709149318</v>
      </c>
      <c r="BE15" s="53">
        <f t="shared" ca="1" si="30"/>
        <v>0.14607093300872415</v>
      </c>
      <c r="BF15" s="53">
        <f t="shared" ca="1" si="31"/>
        <v>1.9472908508817215E-2</v>
      </c>
      <c r="BG15"/>
      <c r="BH15" s="53">
        <f t="shared" si="32"/>
        <v>0.1143003840215026</v>
      </c>
      <c r="BI15" s="53">
        <f t="shared" si="33"/>
        <v>0.14542868817864882</v>
      </c>
      <c r="BJ15"/>
      <c r="BK15" s="53">
        <f t="shared" si="134"/>
        <v>3.9573758850325214E-2</v>
      </c>
      <c r="BL15" s="53">
        <f t="shared" si="135"/>
        <v>0.13083510984620247</v>
      </c>
      <c r="BM15" s="53">
        <f t="shared" si="136"/>
        <v>0.20139907138938651</v>
      </c>
      <c r="BN15" s="53">
        <f t="shared" si="137"/>
        <v>0.27814335982804217</v>
      </c>
      <c r="BO15" s="53">
        <f t="shared" si="138"/>
        <v>0.36794245200688769</v>
      </c>
      <c r="BP15" s="53">
        <f t="shared" si="139"/>
        <v>0.47239838778375898</v>
      </c>
      <c r="BQ15" s="54">
        <f t="shared" si="140"/>
        <v>1359.3443554806404</v>
      </c>
      <c r="BR15" s="262">
        <f t="shared" si="141"/>
        <v>2.7934413131119231</v>
      </c>
      <c r="BS15" s="54">
        <f t="shared" si="142"/>
        <v>1496.8451440563394</v>
      </c>
      <c r="BT15"/>
      <c r="BU15" s="2">
        <f t="shared" si="37"/>
        <v>0.8132809016129996</v>
      </c>
      <c r="BV15" s="2">
        <f t="shared" si="38"/>
        <v>6.3268703746531688E-3</v>
      </c>
      <c r="BW15" s="2">
        <f t="shared" si="39"/>
        <v>0.27762999485240336</v>
      </c>
      <c r="BX15" s="2">
        <f t="shared" si="40"/>
        <v>0.12433112091736698</v>
      </c>
      <c r="BY15" s="2">
        <f t="shared" si="41"/>
        <v>2.1576067911832611E-3</v>
      </c>
      <c r="BZ15" s="2">
        <f t="shared" si="42"/>
        <v>0.38408493474571964</v>
      </c>
      <c r="CA15" s="2">
        <f t="shared" si="43"/>
        <v>0.18132328331170453</v>
      </c>
      <c r="CB15" s="2">
        <f t="shared" si="44"/>
        <v>4.5999084823592655E-2</v>
      </c>
      <c r="CC15" s="2">
        <f t="shared" si="45"/>
        <v>4.5196801191996951E-3</v>
      </c>
      <c r="CD15" s="2">
        <f t="shared" si="46"/>
        <v>0</v>
      </c>
      <c r="CE15" s="2">
        <f t="shared" si="47"/>
        <v>1.1550074816388128E-3</v>
      </c>
      <c r="CF15" s="2">
        <f t="shared" si="48"/>
        <v>1.8408084850304618</v>
      </c>
      <c r="CG15" s="2">
        <f t="shared" si="49"/>
        <v>0.44180636292511516</v>
      </c>
      <c r="CH15" s="2">
        <f t="shared" si="49"/>
        <v>3.4370063078824147E-3</v>
      </c>
      <c r="CI15" s="2">
        <f t="shared" si="49"/>
        <v>0.1508195975355954</v>
      </c>
      <c r="CJ15" s="2">
        <f t="shared" si="49"/>
        <v>6.7541583998788193E-2</v>
      </c>
      <c r="CK15" s="2">
        <f t="shared" si="49"/>
        <v>1.1720973739142433E-3</v>
      </c>
      <c r="CL15" s="2">
        <f t="shared" si="49"/>
        <v>0.20865013273739</v>
      </c>
      <c r="CM15" s="2">
        <f t="shared" si="49"/>
        <v>9.8501981485979509E-2</v>
      </c>
      <c r="CN15" s="2">
        <f t="shared" si="49"/>
        <v>2.4988522813567681E-2</v>
      </c>
      <c r="CO15" s="2">
        <f t="shared" si="49"/>
        <v>2.4552690602819027E-3</v>
      </c>
      <c r="CP15" s="2">
        <f t="shared" si="50"/>
        <v>0</v>
      </c>
      <c r="CQ15" s="2">
        <f t="shared" si="51"/>
        <v>6.2744576148544839E-4</v>
      </c>
      <c r="CS15" s="2">
        <f t="shared" ca="1" si="52"/>
        <v>0.68485525525352686</v>
      </c>
      <c r="CT15" s="2">
        <f t="shared" ca="1" si="53"/>
        <v>0.11583399971264126</v>
      </c>
      <c r="CU15" s="2">
        <f t="shared" ca="1" si="54"/>
        <v>1.2538765107944125</v>
      </c>
      <c r="CV15" s="2">
        <f t="shared" ca="1" si="55"/>
        <v>2.0545657657605805</v>
      </c>
      <c r="CW15" s="2">
        <f t="shared" ca="1" si="56"/>
        <v>0.33333333333333337</v>
      </c>
      <c r="CX15" s="2">
        <f t="shared" ca="1" si="57"/>
        <v>5.6378823030646882E-2</v>
      </c>
      <c r="CY15" s="2">
        <f t="shared" ca="1" si="58"/>
        <v>0.61028784363601984</v>
      </c>
      <c r="CZ15" s="2">
        <f t="shared" si="59"/>
        <v>0.37586579559607192</v>
      </c>
      <c r="DA15" s="2">
        <f t="shared" si="60"/>
        <v>0.44180636292511516</v>
      </c>
      <c r="DB15" s="2">
        <f t="shared" si="61"/>
        <v>-0.59629317940284654</v>
      </c>
      <c r="DD15" s="2">
        <f t="shared" si="62"/>
        <v>1522.2719739525487</v>
      </c>
      <c r="DE15" s="2">
        <f t="shared" si="63"/>
        <v>15085.825675935726</v>
      </c>
      <c r="DF15" s="2">
        <f t="shared" si="64"/>
        <v>8.4023844504503256</v>
      </c>
      <c r="DG15" s="2">
        <f t="shared" si="65"/>
        <v>1618.9339921542219</v>
      </c>
      <c r="DH15" s="2">
        <f t="shared" si="66"/>
        <v>1345.7839921542218</v>
      </c>
      <c r="DI15" s="2">
        <f t="shared" si="143"/>
        <v>13602.905801982104</v>
      </c>
      <c r="DJ15" s="2">
        <f t="shared" si="67"/>
        <v>8.4023844504503256</v>
      </c>
      <c r="DK15" s="2">
        <f t="shared" si="68"/>
        <v>1618.9339921542219</v>
      </c>
      <c r="DL15" s="2">
        <f t="shared" si="69"/>
        <v>3</v>
      </c>
      <c r="DM15" s="2">
        <f t="shared" si="70"/>
        <v>-0.59629317940284654</v>
      </c>
      <c r="DN15" s="2">
        <f t="shared" si="71"/>
        <v>0.37586579559607192</v>
      </c>
      <c r="DO15" s="2">
        <f t="shared" si="72"/>
        <v>0.44180636292511516</v>
      </c>
      <c r="DP15" s="2">
        <f t="shared" si="73"/>
        <v>2.8987028299250359</v>
      </c>
      <c r="DQ15" s="2">
        <f t="shared" si="74"/>
        <v>15085.899999999994</v>
      </c>
      <c r="DR15" s="2">
        <f t="shared" si="75"/>
        <v>8.4021612232781901</v>
      </c>
      <c r="DS15" s="2">
        <f t="shared" si="76"/>
        <v>1522.3285202412571</v>
      </c>
      <c r="DT15" s="2">
        <f t="shared" si="77"/>
        <v>1345.8440978890935</v>
      </c>
      <c r="DU15" s="2">
        <f t="shared" si="78"/>
        <v>1489.8440978890935</v>
      </c>
      <c r="DV15" s="9">
        <f t="shared" ca="1" si="79"/>
        <v>2.924933886354804</v>
      </c>
      <c r="DW15" s="2">
        <f t="shared" ca="1" si="80"/>
        <v>3.1583272453330657</v>
      </c>
      <c r="DX15" s="2">
        <f t="shared" si="81"/>
        <v>4595.2700000000004</v>
      </c>
      <c r="DY15" s="2">
        <f t="shared" ca="1" si="144"/>
        <v>1454.9695592153244</v>
      </c>
      <c r="DZ15" s="2">
        <f t="shared" ca="1" si="82"/>
        <v>4.4004801958293465</v>
      </c>
      <c r="EB15" s="2">
        <f t="shared" si="83"/>
        <v>0.8132809016129996</v>
      </c>
      <c r="EC15" s="2">
        <f t="shared" si="84"/>
        <v>6.3268703746531688E-3</v>
      </c>
      <c r="ED15" s="2">
        <f t="shared" si="85"/>
        <v>0.13881499742620168</v>
      </c>
      <c r="EE15" s="2">
        <f t="shared" si="86"/>
        <v>0.12433112091736698</v>
      </c>
      <c r="EF15" s="2">
        <f t="shared" si="87"/>
        <v>2.1576067911832611E-3</v>
      </c>
      <c r="EG15" s="2">
        <f t="shared" si="88"/>
        <v>0.38408493474571964</v>
      </c>
      <c r="EH15" s="2">
        <f t="shared" si="89"/>
        <v>0.18132328331170453</v>
      </c>
      <c r="EI15" s="2">
        <f t="shared" si="90"/>
        <v>2.2999542411796327E-2</v>
      </c>
      <c r="EJ15" s="2">
        <f t="shared" si="91"/>
        <v>2.2598400595998476E-3</v>
      </c>
      <c r="EK15" s="2">
        <f t="shared" si="92"/>
        <v>0</v>
      </c>
      <c r="EL15" s="2">
        <f t="shared" si="93"/>
        <v>5.7750374081940641E-4</v>
      </c>
      <c r="EM15" s="2">
        <f t="shared" si="94"/>
        <v>1.6761566013920444</v>
      </c>
      <c r="EN15" s="2">
        <f t="shared" si="95"/>
        <v>0.48520579815607418</v>
      </c>
      <c r="EO15" s="2">
        <f t="shared" si="95"/>
        <v>3.7746296315026395E-3</v>
      </c>
      <c r="EP15" s="2">
        <f t="shared" si="95"/>
        <v>8.2817439200439935E-2</v>
      </c>
      <c r="EQ15" s="2">
        <f t="shared" si="95"/>
        <v>7.4176315514976499E-2</v>
      </c>
      <c r="ER15" s="2">
        <f t="shared" si="95"/>
        <v>1.2872346112477637E-3</v>
      </c>
      <c r="ES15" s="2">
        <f t="shared" si="95"/>
        <v>0.22914621129477875</v>
      </c>
      <c r="ET15" s="2">
        <f t="shared" si="95"/>
        <v>0.10817800864257907</v>
      </c>
      <c r="EU15" s="2">
        <f t="shared" si="95"/>
        <v>1.3721595221290933E-2</v>
      </c>
      <c r="EV15" s="2">
        <f t="shared" si="95"/>
        <v>1.348227282416843E-3</v>
      </c>
      <c r="EW15" s="2">
        <f t="shared" si="95"/>
        <v>0</v>
      </c>
      <c r="EX15" s="2">
        <f t="shared" si="95"/>
        <v>3.4454044469340802E-4</v>
      </c>
      <c r="EY15" s="2">
        <f t="shared" si="96"/>
        <v>1</v>
      </c>
      <c r="EZ15" s="2">
        <f t="shared" si="97"/>
        <v>0.1508195975355954</v>
      </c>
      <c r="FA15" s="2">
        <f t="shared" si="98"/>
        <v>0.59606296676859294</v>
      </c>
      <c r="FB15" s="2">
        <f t="shared" si="99"/>
        <v>1.5078724407060988</v>
      </c>
      <c r="FC15" s="2">
        <f t="shared" si="100"/>
        <v>0.6314930143378259</v>
      </c>
      <c r="FD15" s="2">
        <f t="shared" si="101"/>
        <v>1.0594401087544629</v>
      </c>
      <c r="FE15" s="2">
        <f t="shared" ca="1" si="102"/>
        <v>0.12228633954286283</v>
      </c>
      <c r="FF15" s="2">
        <f t="shared" ca="1" si="103"/>
        <v>0.12228633954286283</v>
      </c>
      <c r="FG15" s="2">
        <f t="shared" ca="1" si="104"/>
        <v>0.13286918828938912</v>
      </c>
      <c r="FH15" s="2">
        <f t="shared" ca="1" si="105"/>
        <v>-3.8201847253781103</v>
      </c>
      <c r="FI15" s="2">
        <f t="shared" ca="1" si="106"/>
        <v>7.2882445979501947E-3</v>
      </c>
      <c r="FJ15" s="2">
        <f t="shared" ca="1" si="107"/>
        <v>5.9599826319076107E-2</v>
      </c>
      <c r="FK15" s="2">
        <f t="shared" ca="1" si="108"/>
        <v>0.26009518543776217</v>
      </c>
      <c r="FL15" s="2">
        <f t="shared" ca="1" si="109"/>
        <v>9.2380707920952182E-2</v>
      </c>
      <c r="FM15" s="2">
        <f t="shared" ca="1" si="145"/>
        <v>0.35518038430995041</v>
      </c>
      <c r="FN15" s="2">
        <f t="shared" ca="1" si="146"/>
        <v>9.238070792095214E-2</v>
      </c>
      <c r="FO15" s="2">
        <f t="shared" ca="1" si="110"/>
        <v>9.2380707920952196E-2</v>
      </c>
      <c r="FP15" s="2">
        <f t="shared" ca="1" si="147"/>
        <v>1.8308635309080594</v>
      </c>
      <c r="FQ15" s="2">
        <f t="shared" ca="1" si="111"/>
        <v>0.16913646909194058</v>
      </c>
      <c r="FR15" s="2">
        <f t="shared" si="148"/>
        <v>0.33333333333333331</v>
      </c>
      <c r="FS15" s="2">
        <f t="shared" ca="1" si="112"/>
        <v>5.6378823030646862E-2</v>
      </c>
      <c r="FT15" s="2">
        <f t="shared" ca="1" si="113"/>
        <v>0.61028784363601984</v>
      </c>
      <c r="FU15" s="2">
        <f t="shared" si="114"/>
        <v>20.026666666666664</v>
      </c>
      <c r="FV15" s="2">
        <f t="shared" ca="1" si="115"/>
        <v>4.0508184347519771</v>
      </c>
      <c r="FW15" s="2">
        <f t="shared" ca="1" si="116"/>
        <v>24.594600098531597</v>
      </c>
      <c r="FX15" s="2">
        <f t="shared" ca="1" si="117"/>
        <v>48.672085199950239</v>
      </c>
      <c r="FY15" s="2">
        <f t="shared" ca="1" si="118"/>
        <v>41.14610373563189</v>
      </c>
      <c r="FZ15" s="2">
        <f t="shared" ca="1" si="118"/>
        <v>8.3226728793532736</v>
      </c>
      <c r="GA15" s="2">
        <f t="shared" ca="1" si="118"/>
        <v>50.531223385014826</v>
      </c>
      <c r="GB15" s="2">
        <f t="shared" ca="1" si="119"/>
        <v>91.543176545402986</v>
      </c>
      <c r="GC15" s="2">
        <f t="shared" si="120"/>
        <v>3000000000</v>
      </c>
      <c r="GD15" s="2">
        <f t="shared" si="149"/>
        <v>38</v>
      </c>
      <c r="GE15">
        <f t="shared" si="150"/>
        <v>1473.0934573999998</v>
      </c>
      <c r="GF15">
        <f t="shared" si="151"/>
        <v>1472.7640000000001</v>
      </c>
      <c r="GG15">
        <f t="shared" si="152"/>
        <v>1824.7890000000002</v>
      </c>
      <c r="GH15" s="2">
        <f t="shared" si="153"/>
        <v>4.8348816573316244E-2</v>
      </c>
      <c r="GI15" s="2">
        <f t="shared" si="154"/>
        <v>1.2889999999999999</v>
      </c>
      <c r="GJ15" s="2">
        <f t="shared" si="155"/>
        <v>-1.7580000000000005</v>
      </c>
      <c r="GK15" s="2">
        <f t="shared" si="156"/>
        <v>1.4749999999999996</v>
      </c>
      <c r="GL15" s="2">
        <f t="shared" si="157"/>
        <v>-4.8348816573316244E-2</v>
      </c>
      <c r="GM15">
        <f t="shared" si="158"/>
        <v>0.39728813559322051</v>
      </c>
      <c r="GN15">
        <f t="shared" si="159"/>
        <v>6.2707110191402335E-2</v>
      </c>
      <c r="GO15">
        <f t="shared" si="160"/>
        <v>-0.17359471416259706</v>
      </c>
      <c r="GP15">
        <f t="shared" si="161"/>
        <v>-1.6389429346886867E-2</v>
      </c>
      <c r="GQ15">
        <f t="shared" si="162"/>
        <v>0.29129943502824862</v>
      </c>
      <c r="GR15">
        <f t="shared" si="163"/>
        <v>0.15783786268313718</v>
      </c>
      <c r="GS15">
        <f t="shared" si="164"/>
        <v>-9.449817462430786E-2</v>
      </c>
      <c r="GT15">
        <f t="shared" si="165"/>
        <v>2.3772163645384482E-3</v>
      </c>
      <c r="GU15">
        <f t="shared" si="166"/>
        <v>0.22790006869626703</v>
      </c>
      <c r="GV15">
        <f t="shared" si="167"/>
        <v>-0.5856144454391623</v>
      </c>
      <c r="GW15">
        <f t="shared" si="168"/>
        <v>3.9573758850325214E-2</v>
      </c>
      <c r="GY15" s="15">
        <f t="shared" si="169"/>
        <v>0.14247042467329099</v>
      </c>
      <c r="GZ15" s="2">
        <f t="shared" si="170"/>
        <v>8.6592068831942579E-2</v>
      </c>
      <c r="HA15" s="2">
        <f t="shared" si="171"/>
        <v>8.8060399217611302E-2</v>
      </c>
      <c r="HB15" s="2">
        <f t="shared" si="172"/>
        <v>0.31712289272284488</v>
      </c>
      <c r="HC15" s="2">
        <f t="shared" si="173"/>
        <v>0.44925935005835582</v>
      </c>
      <c r="HD15" s="2">
        <f t="shared" si="174"/>
        <v>0.27305524394172714</v>
      </c>
      <c r="HE15" s="2">
        <f t="shared" si="175"/>
        <v>0.27768540599991698</v>
      </c>
      <c r="HF15" s="2">
        <f t="shared" si="176"/>
        <v>-1.2215587375050012</v>
      </c>
      <c r="HG15" s="2">
        <f t="shared" si="177"/>
        <v>-1.2254563166187631</v>
      </c>
      <c r="HH15" s="2">
        <f t="shared" si="178"/>
        <v>-1.2235075270618823</v>
      </c>
      <c r="HI15" s="2">
        <f t="shared" si="179"/>
        <v>2.9088945705268459</v>
      </c>
      <c r="HJ15" s="2">
        <f t="shared" si="180"/>
        <v>0.12786006233965111</v>
      </c>
      <c r="HK15" s="2">
        <f t="shared" si="181"/>
        <v>0.33462390794844848</v>
      </c>
      <c r="HL15" s="2">
        <f t="shared" si="182"/>
        <v>0.89777549432927184</v>
      </c>
    </row>
    <row r="16" spans="1:220" s="2" customFormat="1" ht="20.25">
      <c r="A16" s="99" t="s">
        <v>163</v>
      </c>
      <c r="B16" s="77">
        <v>190</v>
      </c>
      <c r="C16" s="94">
        <f t="shared" si="126"/>
        <v>-3.949725689044969</v>
      </c>
      <c r="D16" s="59">
        <f t="shared" si="1"/>
        <v>-3.7770052986917229</v>
      </c>
      <c r="E16" s="60">
        <f t="shared" si="2"/>
        <v>-3.949725689044969</v>
      </c>
      <c r="F16" s="66">
        <v>48.188469958312325</v>
      </c>
      <c r="G16" s="66">
        <v>0.62378590509834519</v>
      </c>
      <c r="H16" s="66">
        <v>11.584854530847025</v>
      </c>
      <c r="I16" s="66">
        <v>9.6848094599845833</v>
      </c>
      <c r="J16" s="66">
        <v>0.16037895104185937</v>
      </c>
      <c r="K16" s="66">
        <v>17.51739185514764</v>
      </c>
      <c r="L16" s="66">
        <v>10.145031136336243</v>
      </c>
      <c r="M16" s="66">
        <v>1.5458184049141124</v>
      </c>
      <c r="N16" s="66">
        <v>0.43187161130124652</v>
      </c>
      <c r="O16" s="66"/>
      <c r="P16" s="66">
        <v>8.6678300766487207E-2</v>
      </c>
      <c r="Q16" s="66">
        <v>0.17477777777777778</v>
      </c>
      <c r="R16" s="3">
        <f t="shared" si="3"/>
        <v>99.969090113749871</v>
      </c>
      <c r="S16" s="135">
        <v>3</v>
      </c>
      <c r="T16" s="288">
        <f t="shared" si="127"/>
        <v>0.35305138831429445</v>
      </c>
      <c r="U16" s="54">
        <f t="shared" si="4"/>
        <v>1532.851825621713</v>
      </c>
      <c r="V16" s="54">
        <f t="shared" ca="1" si="4"/>
        <v>1525.0174102616324</v>
      </c>
      <c r="W16" s="54">
        <f t="shared" si="5"/>
        <v>1529.368504510602</v>
      </c>
      <c r="X16" s="101">
        <f t="shared" ca="1" si="6"/>
        <v>1616.3920769173872</v>
      </c>
      <c r="Y16" s="101">
        <f t="shared" ca="1" si="7"/>
        <v>1552.6951075830402</v>
      </c>
      <c r="Z16" s="50">
        <f t="shared" ca="1" si="8"/>
        <v>1611.5303784879559</v>
      </c>
      <c r="AA16" s="50">
        <f t="shared" ca="1" si="9"/>
        <v>1589.0558962787632</v>
      </c>
      <c r="AB16" s="103">
        <f t="shared" ca="1" si="128"/>
        <v>41.978453242670035</v>
      </c>
      <c r="AC16" s="283">
        <v>13.3</v>
      </c>
      <c r="AD16" s="283">
        <f t="shared" ca="1" si="10"/>
        <v>11.923968427682238</v>
      </c>
      <c r="AE16" s="3">
        <f t="shared" ca="1" si="11"/>
        <v>113.69876047990529</v>
      </c>
      <c r="AF16" s="3">
        <f t="shared" ca="1" si="12"/>
        <v>213.55927660317138</v>
      </c>
      <c r="AG16" s="3">
        <f t="shared" ca="1" si="13"/>
        <v>532.39907106061457</v>
      </c>
      <c r="AH16" s="3">
        <f t="shared" ca="1" si="14"/>
        <v>99.810391300177386</v>
      </c>
      <c r="AI16" s="85">
        <f t="shared" si="129"/>
        <v>0.36275926032591344</v>
      </c>
      <c r="AJ16" s="85">
        <f t="shared" ca="1" si="15"/>
        <v>2.4201851459542159</v>
      </c>
      <c r="AK16" s="85">
        <f t="shared" si="16"/>
        <v>0.29628562705977868</v>
      </c>
      <c r="AL16" s="86">
        <f t="shared" ca="1" si="130"/>
        <v>0.27881684121159378</v>
      </c>
      <c r="AM16" s="85">
        <f t="shared" si="17"/>
        <v>0.35305138831429445</v>
      </c>
      <c r="AN16" s="85">
        <f t="shared" ca="1" si="131"/>
        <v>0.3530513883142945</v>
      </c>
      <c r="AO16" s="123">
        <f t="shared" ca="1" si="18"/>
        <v>41.234988198438252</v>
      </c>
      <c r="AP16" s="123">
        <f t="shared" ca="1" si="19"/>
        <v>7.8486975941799084</v>
      </c>
      <c r="AQ16" s="123">
        <f t="shared" ca="1" si="20"/>
        <v>50.916314207381831</v>
      </c>
      <c r="AS16" s="53">
        <f t="shared" ca="1" si="132"/>
        <v>80.328020856404038</v>
      </c>
      <c r="AT16" s="53">
        <f t="shared" ca="1" si="21"/>
        <v>92.04198272529959</v>
      </c>
      <c r="AU16" s="63">
        <f t="shared" ca="1" si="22"/>
        <v>0.3530513883142945</v>
      </c>
      <c r="AV16" s="53">
        <f t="shared" si="23"/>
        <v>2.5834373248154989</v>
      </c>
      <c r="AW16" s="53">
        <f t="shared" ca="1" si="24"/>
        <v>2.6116062618973248</v>
      </c>
      <c r="AX16" s="54">
        <f t="shared" si="25"/>
        <v>1570.0348444295414</v>
      </c>
      <c r="AY16" s="54">
        <f t="shared" si="133"/>
        <v>1532.851825621713</v>
      </c>
      <c r="AZ16" s="54">
        <f t="shared" ca="1" si="26"/>
        <v>1525.0174102616324</v>
      </c>
      <c r="BA16" s="34"/>
      <c r="BB16" s="63">
        <f t="shared" ca="1" si="27"/>
        <v>0.18747288777446758</v>
      </c>
      <c r="BC16" s="63">
        <f t="shared" ca="1" si="28"/>
        <v>3.6367282908604415E-2</v>
      </c>
      <c r="BD16" s="53">
        <f t="shared" si="29"/>
        <v>0.16938324149296516</v>
      </c>
      <c r="BE16" s="53">
        <f t="shared" ca="1" si="30"/>
        <v>0.18026289455270977</v>
      </c>
      <c r="BF16" s="53">
        <f t="shared" ca="1" si="31"/>
        <v>0.10021903799704558</v>
      </c>
      <c r="BG16"/>
      <c r="BH16" s="53">
        <f t="shared" si="32"/>
        <v>0.15611300925502811</v>
      </c>
      <c r="BI16" s="53">
        <f t="shared" si="33"/>
        <v>0.19468288099622538</v>
      </c>
      <c r="BJ16"/>
      <c r="BK16" s="53">
        <f t="shared" si="134"/>
        <v>0.16408775729127639</v>
      </c>
      <c r="BL16" s="53">
        <f t="shared" si="135"/>
        <v>0.1823309794629431</v>
      </c>
      <c r="BM16" s="53">
        <f t="shared" si="136"/>
        <v>0.2980416807781171</v>
      </c>
      <c r="BN16" s="53">
        <f t="shared" si="137"/>
        <v>0.29864920934860262</v>
      </c>
      <c r="BO16" s="53">
        <f t="shared" si="138"/>
        <v>0.36248219583129476</v>
      </c>
      <c r="BP16" s="53">
        <f t="shared" si="139"/>
        <v>0.38907209495556783</v>
      </c>
      <c r="BQ16" s="54">
        <f t="shared" si="140"/>
        <v>1398.3269184805154</v>
      </c>
      <c r="BR16" s="262">
        <f t="shared" si="141"/>
        <v>3.5563964186980619</v>
      </c>
      <c r="BS16" s="54">
        <f t="shared" si="142"/>
        <v>1566.9412792191886</v>
      </c>
      <c r="BT16"/>
      <c r="BU16" s="2">
        <f t="shared" si="37"/>
        <v>0.80207173698921985</v>
      </c>
      <c r="BV16" s="2">
        <f t="shared" si="38"/>
        <v>7.8070826670631433E-3</v>
      </c>
      <c r="BW16" s="2">
        <f t="shared" si="39"/>
        <v>0.22724312535988672</v>
      </c>
      <c r="BX16" s="2">
        <f t="shared" si="40"/>
        <v>0.13479205928997334</v>
      </c>
      <c r="BY16" s="2">
        <f t="shared" si="41"/>
        <v>2.2607689743707271E-3</v>
      </c>
      <c r="BZ16" s="2">
        <f t="shared" si="42"/>
        <v>0.43467473585974298</v>
      </c>
      <c r="CA16" s="2">
        <f t="shared" si="43"/>
        <v>0.1809028376664808</v>
      </c>
      <c r="CB16" s="2">
        <f t="shared" si="44"/>
        <v>4.9881200545792592E-2</v>
      </c>
      <c r="CC16" s="2">
        <f t="shared" si="45"/>
        <v>9.1692486475848517E-3</v>
      </c>
      <c r="CD16" s="2">
        <f t="shared" si="46"/>
        <v>0</v>
      </c>
      <c r="CE16" s="2">
        <f t="shared" si="47"/>
        <v>1.2213371955260984E-3</v>
      </c>
      <c r="CF16" s="2">
        <f t="shared" si="48"/>
        <v>1.8500241331956411</v>
      </c>
      <c r="CG16" s="2">
        <f t="shared" si="49"/>
        <v>0.43354663466133297</v>
      </c>
      <c r="CH16" s="2">
        <f t="shared" si="49"/>
        <v>4.2199896352582015E-3</v>
      </c>
      <c r="CI16" s="2">
        <f t="shared" si="49"/>
        <v>0.12283251946954772</v>
      </c>
      <c r="CJ16" s="2">
        <f t="shared" si="49"/>
        <v>7.2859622137544849E-2</v>
      </c>
      <c r="CK16" s="2">
        <f t="shared" si="49"/>
        <v>1.222021342211134E-3</v>
      </c>
      <c r="CL16" s="2">
        <f t="shared" si="49"/>
        <v>0.2349562516835427</v>
      </c>
      <c r="CM16" s="2">
        <f t="shared" si="49"/>
        <v>9.778404206760162E-2</v>
      </c>
      <c r="CN16" s="2">
        <f t="shared" si="49"/>
        <v>2.6962459381343448E-2</v>
      </c>
      <c r="CO16" s="2">
        <f t="shared" si="49"/>
        <v>4.9562859657113446E-3</v>
      </c>
      <c r="CP16" s="2">
        <f t="shared" si="50"/>
        <v>0</v>
      </c>
      <c r="CQ16" s="2">
        <f t="shared" si="51"/>
        <v>6.6017365590600183E-4</v>
      </c>
      <c r="CS16" s="2">
        <f t="shared" ca="1" si="52"/>
        <v>0.68633469038678852</v>
      </c>
      <c r="CT16" s="2">
        <f t="shared" ca="1" si="53"/>
        <v>0.10923726644648447</v>
      </c>
      <c r="CU16" s="2">
        <f t="shared" ca="1" si="54"/>
        <v>1.2634321143270926</v>
      </c>
      <c r="CV16" s="2">
        <f t="shared" ca="1" si="55"/>
        <v>2.0590040711603654</v>
      </c>
      <c r="CW16" s="2">
        <f t="shared" ca="1" si="56"/>
        <v>0.33333333333333337</v>
      </c>
      <c r="CX16" s="2">
        <f t="shared" ca="1" si="57"/>
        <v>5.3053448498002767E-2</v>
      </c>
      <c r="CY16" s="2">
        <f t="shared" ca="1" si="58"/>
        <v>0.61361321816866399</v>
      </c>
      <c r="CZ16" s="2">
        <f t="shared" si="59"/>
        <v>0.40682193723090027</v>
      </c>
      <c r="DA16" s="2">
        <f t="shared" si="60"/>
        <v>0.43354663466133297</v>
      </c>
      <c r="DB16" s="2">
        <f t="shared" si="61"/>
        <v>-0.48830310503461344</v>
      </c>
      <c r="DD16" s="2">
        <f t="shared" si="62"/>
        <v>1570.0348444295414</v>
      </c>
      <c r="DE16" s="2">
        <f t="shared" si="63"/>
        <v>15085.825675935726</v>
      </c>
      <c r="DF16" s="2">
        <f t="shared" si="64"/>
        <v>8.1846515402554392</v>
      </c>
      <c r="DG16" s="2">
        <f t="shared" si="65"/>
        <v>1662.0018256217129</v>
      </c>
      <c r="DH16" s="2">
        <f t="shared" si="66"/>
        <v>1388.851825621713</v>
      </c>
      <c r="DI16" s="2">
        <f t="shared" si="143"/>
        <v>13602.905801982104</v>
      </c>
      <c r="DJ16" s="2">
        <f t="shared" si="67"/>
        <v>8.1846515402554392</v>
      </c>
      <c r="DK16" s="2">
        <f t="shared" si="68"/>
        <v>1662.0018256217129</v>
      </c>
      <c r="DL16" s="2">
        <f t="shared" si="69"/>
        <v>3</v>
      </c>
      <c r="DM16" s="2">
        <f t="shared" si="70"/>
        <v>-0.48830310503461344</v>
      </c>
      <c r="DN16" s="2">
        <f t="shared" si="71"/>
        <v>0.40682193723090027</v>
      </c>
      <c r="DO16" s="2">
        <f t="shared" si="72"/>
        <v>0.43354663466133297</v>
      </c>
      <c r="DP16" s="2">
        <f t="shared" si="73"/>
        <v>2.5834373248154989</v>
      </c>
      <c r="DQ16" s="2">
        <f t="shared" si="74"/>
        <v>15085.899999999994</v>
      </c>
      <c r="DR16" s="2">
        <f t="shared" si="75"/>
        <v>8.1844283130833038</v>
      </c>
      <c r="DS16" s="2">
        <f t="shared" si="76"/>
        <v>1570.0941977510233</v>
      </c>
      <c r="DT16" s="2">
        <f t="shared" si="77"/>
        <v>1388.9147050270694</v>
      </c>
      <c r="DU16" s="2">
        <f t="shared" si="78"/>
        <v>1532.9147050270694</v>
      </c>
      <c r="DV16" s="9">
        <f t="shared" ca="1" si="79"/>
        <v>2.6116062618973248</v>
      </c>
      <c r="DW16" s="2">
        <f t="shared" ca="1" si="80"/>
        <v>3.0276655570558928</v>
      </c>
      <c r="DX16" s="2">
        <f t="shared" si="81"/>
        <v>4595.2700000000004</v>
      </c>
      <c r="DY16" s="2">
        <f t="shared" ca="1" si="144"/>
        <v>1517.760107053716</v>
      </c>
      <c r="DZ16" s="2">
        <f t="shared" ca="1" si="82"/>
        <v>3.9663386461774111</v>
      </c>
      <c r="EB16" s="2">
        <f t="shared" si="83"/>
        <v>0.80207173698921985</v>
      </c>
      <c r="EC16" s="2">
        <f t="shared" si="84"/>
        <v>7.8070826670631433E-3</v>
      </c>
      <c r="ED16" s="2">
        <f t="shared" si="85"/>
        <v>0.11362156267994336</v>
      </c>
      <c r="EE16" s="2">
        <f t="shared" si="86"/>
        <v>0.13479205928997334</v>
      </c>
      <c r="EF16" s="2">
        <f t="shared" si="87"/>
        <v>2.2607689743707271E-3</v>
      </c>
      <c r="EG16" s="2">
        <f t="shared" si="88"/>
        <v>0.43467473585974298</v>
      </c>
      <c r="EH16" s="2">
        <f t="shared" si="89"/>
        <v>0.1809028376664808</v>
      </c>
      <c r="EI16" s="2">
        <f t="shared" si="90"/>
        <v>2.4940600272896296E-2</v>
      </c>
      <c r="EJ16" s="2">
        <f t="shared" si="91"/>
        <v>4.5846243237924258E-3</v>
      </c>
      <c r="EK16" s="2">
        <f t="shared" si="92"/>
        <v>0</v>
      </c>
      <c r="EL16" s="2">
        <f t="shared" si="93"/>
        <v>6.1066859776304921E-4</v>
      </c>
      <c r="EM16" s="2">
        <f t="shared" si="94"/>
        <v>1.7062666773212458</v>
      </c>
      <c r="EN16" s="2">
        <f t="shared" si="95"/>
        <v>0.47007407906976928</v>
      </c>
      <c r="EO16" s="2">
        <f t="shared" si="95"/>
        <v>4.5755348626510583E-3</v>
      </c>
      <c r="EP16" s="2">
        <f t="shared" si="95"/>
        <v>6.6590741172021004E-2</v>
      </c>
      <c r="EQ16" s="2">
        <f t="shared" si="95"/>
        <v>7.8998236958826504E-2</v>
      </c>
      <c r="ER16" s="2">
        <f t="shared" si="95"/>
        <v>1.3249798548020772E-3</v>
      </c>
      <c r="ES16" s="2">
        <f t="shared" si="95"/>
        <v>0.25475193393693935</v>
      </c>
      <c r="ET16" s="2">
        <f t="shared" si="95"/>
        <v>0.10602260483132056</v>
      </c>
      <c r="EU16" s="2">
        <f t="shared" si="95"/>
        <v>1.461705875429262E-2</v>
      </c>
      <c r="EV16" s="2">
        <f t="shared" si="95"/>
        <v>2.6869330478809204E-3</v>
      </c>
      <c r="EW16" s="2">
        <f t="shared" si="95"/>
        <v>0</v>
      </c>
      <c r="EX16" s="2">
        <f t="shared" si="95"/>
        <v>3.5789751149671909E-4</v>
      </c>
      <c r="EY16" s="2">
        <f t="shared" si="96"/>
        <v>1</v>
      </c>
      <c r="EZ16" s="2">
        <f t="shared" si="97"/>
        <v>0.12283251946954772</v>
      </c>
      <c r="FA16" s="2">
        <f t="shared" si="98"/>
        <v>0.56059914376613895</v>
      </c>
      <c r="FB16" s="2">
        <f t="shared" si="99"/>
        <v>1.4842137718416968</v>
      </c>
      <c r="FC16" s="2">
        <f t="shared" si="100"/>
        <v>0.72603096861883776</v>
      </c>
      <c r="FD16" s="2">
        <f t="shared" si="101"/>
        <v>1.2950982474595265</v>
      </c>
      <c r="FE16" s="2">
        <f t="shared" ca="1" si="102"/>
        <v>0.13312421656474516</v>
      </c>
      <c r="FF16" s="2">
        <f t="shared" ca="1" si="103"/>
        <v>0.13312421656474516</v>
      </c>
      <c r="FG16" s="2">
        <f t="shared" ca="1" si="104"/>
        <v>0.15482085655606725</v>
      </c>
      <c r="FH16" s="2">
        <f t="shared" ca="1" si="105"/>
        <v>-3.3560711550037912</v>
      </c>
      <c r="FI16" s="2">
        <f t="shared" ca="1" si="106"/>
        <v>8.3053041804351975E-3</v>
      </c>
      <c r="FJ16" s="2">
        <f t="shared" ca="1" si="107"/>
        <v>6.2387628597956109E-2</v>
      </c>
      <c r="FK16" s="2">
        <f t="shared" ca="1" si="108"/>
        <v>0.24489560347518063</v>
      </c>
      <c r="FL16" s="2">
        <f t="shared" ca="1" si="109"/>
        <v>8.6460732798979492E-2</v>
      </c>
      <c r="FM16" s="2">
        <f t="shared" ca="1" si="145"/>
        <v>0.3530513883142945</v>
      </c>
      <c r="FN16" s="2">
        <f t="shared" ca="1" si="146"/>
        <v>8.6460732798979478E-2</v>
      </c>
      <c r="FO16" s="2">
        <f t="shared" ca="1" si="110"/>
        <v>8.6460732798979478E-2</v>
      </c>
      <c r="FP16" s="2">
        <f t="shared" ca="1" si="147"/>
        <v>1.8408396545059917</v>
      </c>
      <c r="FQ16" s="2">
        <f t="shared" ca="1" si="111"/>
        <v>0.15916034549400826</v>
      </c>
      <c r="FR16" s="2">
        <f t="shared" si="148"/>
        <v>0.33333333333333331</v>
      </c>
      <c r="FS16" s="2">
        <f t="shared" ca="1" si="112"/>
        <v>5.3053448498002753E-2</v>
      </c>
      <c r="FT16" s="2">
        <f t="shared" ca="1" si="113"/>
        <v>0.61361321816866388</v>
      </c>
      <c r="FU16" s="2">
        <f t="shared" si="114"/>
        <v>20.026666666666664</v>
      </c>
      <c r="FV16" s="2">
        <f t="shared" ca="1" si="115"/>
        <v>3.8118902745814975</v>
      </c>
      <c r="FW16" s="2">
        <f t="shared" ca="1" si="116"/>
        <v>24.728612692197153</v>
      </c>
      <c r="FX16" s="2">
        <f t="shared" ca="1" si="117"/>
        <v>48.567169633445317</v>
      </c>
      <c r="FY16" s="2">
        <f t="shared" ca="1" si="118"/>
        <v>41.234988198438252</v>
      </c>
      <c r="FZ16" s="2">
        <f t="shared" ca="1" si="118"/>
        <v>7.8486975941799084</v>
      </c>
      <c r="GA16" s="2">
        <f t="shared" ca="1" si="118"/>
        <v>50.916314207381831</v>
      </c>
      <c r="GB16" s="2">
        <f t="shared" ca="1" si="119"/>
        <v>92.04198272529959</v>
      </c>
      <c r="GC16" s="2">
        <f t="shared" si="120"/>
        <v>3000000000</v>
      </c>
      <c r="GD16" s="2">
        <f t="shared" si="149"/>
        <v>38</v>
      </c>
      <c r="GE16">
        <f t="shared" si="150"/>
        <v>1473.0934573999998</v>
      </c>
      <c r="GF16">
        <f t="shared" si="151"/>
        <v>1472.7640000000001</v>
      </c>
      <c r="GG16">
        <f t="shared" si="152"/>
        <v>1824.7890000000002</v>
      </c>
      <c r="GH16" s="2">
        <f t="shared" si="153"/>
        <v>0.17069192705550143</v>
      </c>
      <c r="GI16" s="2">
        <f t="shared" si="154"/>
        <v>1.2889999999999999</v>
      </c>
      <c r="GJ16" s="2">
        <f t="shared" si="155"/>
        <v>-1.7580000000000005</v>
      </c>
      <c r="GK16" s="2">
        <f t="shared" si="156"/>
        <v>1.4749999999999996</v>
      </c>
      <c r="GL16" s="2">
        <f t="shared" si="157"/>
        <v>-0.17069192705550143</v>
      </c>
      <c r="GM16">
        <f t="shared" si="158"/>
        <v>0.39728813559322051</v>
      </c>
      <c r="GN16">
        <f t="shared" si="159"/>
        <v>6.2707110191402335E-2</v>
      </c>
      <c r="GO16">
        <f t="shared" si="160"/>
        <v>-0.17359471416259706</v>
      </c>
      <c r="GP16">
        <f t="shared" si="161"/>
        <v>-5.7861670188305583E-2</v>
      </c>
      <c r="GQ16">
        <f t="shared" si="162"/>
        <v>0.29129943502824862</v>
      </c>
      <c r="GR16">
        <f t="shared" si="163"/>
        <v>0.15783786268313718</v>
      </c>
      <c r="GS16">
        <f t="shared" si="164"/>
        <v>-5.302593378288914E-2</v>
      </c>
      <c r="GT16">
        <f t="shared" si="165"/>
        <v>2.3772163645384482E-3</v>
      </c>
      <c r="GU16">
        <f t="shared" si="166"/>
        <v>0.26688015774460733</v>
      </c>
      <c r="GV16">
        <f t="shared" si="167"/>
        <v>-0.50008053604655145</v>
      </c>
      <c r="GW16">
        <f t="shared" si="168"/>
        <v>0.16408775729127639</v>
      </c>
      <c r="GY16" s="15">
        <f t="shared" si="169"/>
        <v>0.15543721560610724</v>
      </c>
      <c r="GZ16" s="2">
        <f t="shared" si="170"/>
        <v>7.1166276034672057E-2</v>
      </c>
      <c r="HA16" s="2">
        <f t="shared" si="171"/>
        <v>6.6356049598616088E-2</v>
      </c>
      <c r="HB16" s="2">
        <f t="shared" si="172"/>
        <v>0.29295954123939538</v>
      </c>
      <c r="HC16" s="2">
        <f t="shared" si="173"/>
        <v>0.53057570662663578</v>
      </c>
      <c r="HD16" s="2">
        <f t="shared" si="174"/>
        <v>0.24292185785653483</v>
      </c>
      <c r="HE16" s="2">
        <f t="shared" si="175"/>
        <v>0.22650243551682944</v>
      </c>
      <c r="HF16" s="2">
        <f t="shared" si="176"/>
        <v>-1.3033560139566285</v>
      </c>
      <c r="HG16" s="2">
        <f t="shared" si="177"/>
        <v>-1.3035779498000823</v>
      </c>
      <c r="HH16" s="2">
        <f t="shared" si="178"/>
        <v>-1.3034669818783553</v>
      </c>
      <c r="HI16" s="2">
        <f t="shared" si="179"/>
        <v>2.5466749202207257</v>
      </c>
      <c r="HJ16" s="2">
        <f t="shared" si="180"/>
        <v>0.16699622712710516</v>
      </c>
      <c r="HK16" s="2">
        <f t="shared" si="181"/>
        <v>0.33961039049484554</v>
      </c>
      <c r="HL16" s="2">
        <f t="shared" si="182"/>
        <v>0.82810095884041957</v>
      </c>
    </row>
    <row r="17" spans="1:220" s="2" customFormat="1" ht="20.25">
      <c r="A17" s="99" t="s">
        <v>164</v>
      </c>
      <c r="B17" s="77">
        <v>177</v>
      </c>
      <c r="C17" s="94">
        <f t="shared" si="126"/>
        <v>-4.4044752695653777</v>
      </c>
      <c r="D17" s="59">
        <f t="shared" si="1"/>
        <v>-4.2232413318615212</v>
      </c>
      <c r="E17" s="60">
        <f t="shared" si="2"/>
        <v>-4.4044752695653777</v>
      </c>
      <c r="F17" s="66">
        <v>50.709759775603402</v>
      </c>
      <c r="G17" s="66">
        <v>0.40780994017689032</v>
      </c>
      <c r="H17" s="66">
        <v>13.551380990205766</v>
      </c>
      <c r="I17" s="66">
        <v>8.2997166407070093</v>
      </c>
      <c r="J17" s="66">
        <v>0.16632439859507708</v>
      </c>
      <c r="K17" s="66">
        <v>14.584044035846246</v>
      </c>
      <c r="L17" s="66">
        <v>10.518231457685221</v>
      </c>
      <c r="M17" s="66">
        <v>1.2218961844452472</v>
      </c>
      <c r="N17" s="66">
        <v>0.45936718864808673</v>
      </c>
      <c r="O17" s="66"/>
      <c r="P17" s="66">
        <v>6.1193415256340103E-2</v>
      </c>
      <c r="Q17" s="66">
        <v>0.17477777777777778</v>
      </c>
      <c r="R17" s="3">
        <f t="shared" si="3"/>
        <v>99.979724027169283</v>
      </c>
      <c r="S17" s="135">
        <v>3</v>
      </c>
      <c r="T17" s="288">
        <f t="shared" si="127"/>
        <v>0.35974832674872548</v>
      </c>
      <c r="U17" s="54">
        <f t="shared" si="4"/>
        <v>1469.9102706812837</v>
      </c>
      <c r="V17" s="54">
        <f t="shared" ca="1" si="4"/>
        <v>1465.2186700231546</v>
      </c>
      <c r="W17" s="54">
        <f t="shared" si="5"/>
        <v>1466.4269495701726</v>
      </c>
      <c r="X17" s="101">
        <f t="shared" ca="1" si="6"/>
        <v>1546.8731684930108</v>
      </c>
      <c r="Y17" s="101">
        <f t="shared" ca="1" si="7"/>
        <v>1425.3186700231545</v>
      </c>
      <c r="Z17" s="50">
        <f t="shared" ca="1" si="8"/>
        <v>1508.6073910372472</v>
      </c>
      <c r="AA17" s="50">
        <f t="shared" ca="1" si="9"/>
        <v>1494.0110608951939</v>
      </c>
      <c r="AB17" s="103">
        <f t="shared" ca="1" si="128"/>
        <v>63.842376199003574</v>
      </c>
      <c r="AC17" s="283">
        <v>13.3</v>
      </c>
      <c r="AD17" s="283">
        <f t="shared" ca="1" si="10"/>
        <v>11.480922999369783</v>
      </c>
      <c r="AE17" s="3">
        <f t="shared" ca="1" si="11"/>
        <v>109.09772234622756</v>
      </c>
      <c r="AF17" s="3">
        <f t="shared" ca="1" si="12"/>
        <v>213.10326141364806</v>
      </c>
      <c r="AG17" s="3">
        <f t="shared" ca="1" si="13"/>
        <v>511.94768969049886</v>
      </c>
      <c r="AH17" s="3">
        <f t="shared" ca="1" si="14"/>
        <v>63.235159870148756</v>
      </c>
      <c r="AI17" s="85">
        <f t="shared" si="129"/>
        <v>0.29668978310489474</v>
      </c>
      <c r="AJ17" s="85">
        <f t="shared" ca="1" si="15"/>
        <v>1.5364210026059779</v>
      </c>
      <c r="AK17" s="85">
        <f t="shared" si="16"/>
        <v>0.31130873668367398</v>
      </c>
      <c r="AL17" s="86">
        <f t="shared" ca="1" si="130"/>
        <v>0.28651486533095138</v>
      </c>
      <c r="AM17" s="85">
        <f t="shared" si="17"/>
        <v>0.35974832674872548</v>
      </c>
      <c r="AN17" s="85">
        <f t="shared" ca="1" si="131"/>
        <v>0.35974832674872564</v>
      </c>
      <c r="AO17" s="123">
        <f t="shared" ca="1" si="18"/>
        <v>41.159903523808921</v>
      </c>
      <c r="AP17" s="123">
        <f t="shared" ca="1" si="19"/>
        <v>8.2490856816583324</v>
      </c>
      <c r="AQ17" s="123">
        <f t="shared" ca="1" si="20"/>
        <v>50.59101079453275</v>
      </c>
      <c r="AS17" s="53">
        <f t="shared" ca="1" si="132"/>
        <v>79.730745567974878</v>
      </c>
      <c r="AT17" s="53">
        <f t="shared" ca="1" si="21"/>
        <v>91.620760144049257</v>
      </c>
      <c r="AU17" s="63">
        <f t="shared" ca="1" si="22"/>
        <v>0.35974832674872564</v>
      </c>
      <c r="AV17" s="53">
        <f t="shared" si="23"/>
        <v>3.0660223225214778</v>
      </c>
      <c r="AW17" s="53">
        <f t="shared" ca="1" si="24"/>
        <v>3.0926290862876447</v>
      </c>
      <c r="AX17" s="54">
        <f t="shared" si="25"/>
        <v>1500.2317200511243</v>
      </c>
      <c r="AY17" s="54">
        <f t="shared" si="133"/>
        <v>1469.9102706812837</v>
      </c>
      <c r="AZ17" s="54">
        <f t="shared" ca="1" si="26"/>
        <v>1465.2186700231546</v>
      </c>
      <c r="BA17" s="34"/>
      <c r="BB17" s="63">
        <f t="shared" ca="1" si="27"/>
        <v>0.12351879136006642</v>
      </c>
      <c r="BC17" s="63">
        <f t="shared" ca="1" si="28"/>
        <v>7.1983657777955484E-2</v>
      </c>
      <c r="BD17" s="53">
        <f t="shared" si="29"/>
        <v>0.1802676827374409</v>
      </c>
      <c r="BE17" s="53">
        <f t="shared" ca="1" si="30"/>
        <v>8.8586285438070511E-2</v>
      </c>
      <c r="BF17" s="53">
        <f t="shared" ca="1" si="31"/>
        <v>0</v>
      </c>
      <c r="BG17"/>
      <c r="BH17" s="53">
        <f t="shared" si="32"/>
        <v>0.14079789276854904</v>
      </c>
      <c r="BI17" s="53">
        <f t="shared" si="33"/>
        <v>0.15845129728206234</v>
      </c>
      <c r="BJ17"/>
      <c r="BK17" s="53">
        <f t="shared" si="134"/>
        <v>-6.235758636176536E-3</v>
      </c>
      <c r="BL17" s="53">
        <f t="shared" si="135"/>
        <v>0.15514049198341673</v>
      </c>
      <c r="BM17" s="53">
        <f t="shared" si="136"/>
        <v>0.24778571186642945</v>
      </c>
      <c r="BN17" s="53">
        <f t="shared" si="137"/>
        <v>0.29622228567988296</v>
      </c>
      <c r="BO17" s="53">
        <f t="shared" si="138"/>
        <v>0.52094734667238107</v>
      </c>
      <c r="BP17" s="53">
        <f t="shared" si="139"/>
        <v>0.69879061088130057</v>
      </c>
      <c r="BQ17" s="54">
        <f t="shared" si="140"/>
        <v>1341.8195800043279</v>
      </c>
      <c r="BR17" s="262">
        <f t="shared" si="141"/>
        <v>2.5194585462123724</v>
      </c>
      <c r="BS17" s="54">
        <f t="shared" si="142"/>
        <v>1467.4876500664595</v>
      </c>
      <c r="BT17"/>
      <c r="BU17" s="2">
        <f t="shared" si="37"/>
        <v>0.84403727988687427</v>
      </c>
      <c r="BV17" s="2">
        <f t="shared" si="38"/>
        <v>5.1040042575330449E-3</v>
      </c>
      <c r="BW17" s="2">
        <f t="shared" si="39"/>
        <v>0.2658175949432281</v>
      </c>
      <c r="BX17" s="2">
        <f t="shared" si="40"/>
        <v>0.11551449743503145</v>
      </c>
      <c r="BY17" s="2">
        <f t="shared" si="41"/>
        <v>2.3445784972522849E-3</v>
      </c>
      <c r="BZ17" s="2">
        <f t="shared" si="42"/>
        <v>0.36188694878030386</v>
      </c>
      <c r="CA17" s="2">
        <f t="shared" si="43"/>
        <v>0.1875576222839733</v>
      </c>
      <c r="CB17" s="2">
        <f t="shared" si="44"/>
        <v>3.9428724893360675E-2</v>
      </c>
      <c r="CC17" s="2">
        <f t="shared" si="45"/>
        <v>9.7530188672629876E-3</v>
      </c>
      <c r="CD17" s="2">
        <f t="shared" si="46"/>
        <v>0</v>
      </c>
      <c r="CE17" s="2">
        <f t="shared" si="47"/>
        <v>8.6224341632154576E-4</v>
      </c>
      <c r="CF17" s="2">
        <f t="shared" si="48"/>
        <v>1.8323065132611411</v>
      </c>
      <c r="CG17" s="2">
        <f t="shared" si="49"/>
        <v>0.46064196889452508</v>
      </c>
      <c r="CH17" s="2">
        <f t="shared" si="49"/>
        <v>2.7855624703581566E-3</v>
      </c>
      <c r="CI17" s="2">
        <f t="shared" si="49"/>
        <v>0.14507266825686585</v>
      </c>
      <c r="CJ17" s="2">
        <f t="shared" si="49"/>
        <v>6.30432171686377E-2</v>
      </c>
      <c r="CK17" s="2">
        <f t="shared" si="49"/>
        <v>1.2795776690655329E-3</v>
      </c>
      <c r="CL17" s="2">
        <f t="shared" si="49"/>
        <v>0.19750349963894254</v>
      </c>
      <c r="CM17" s="2">
        <f t="shared" si="49"/>
        <v>0.10236148860823402</v>
      </c>
      <c r="CN17" s="2">
        <f t="shared" si="49"/>
        <v>2.1518629447638316E-2</v>
      </c>
      <c r="CO17" s="2">
        <f t="shared" si="49"/>
        <v>5.3228096918700321E-3</v>
      </c>
      <c r="CP17" s="2">
        <f t="shared" si="50"/>
        <v>0</v>
      </c>
      <c r="CQ17" s="2">
        <f t="shared" si="51"/>
        <v>4.7057815386298223E-4</v>
      </c>
      <c r="CS17" s="2">
        <f t="shared" ca="1" si="52"/>
        <v>0.6850849454695227</v>
      </c>
      <c r="CT17" s="2">
        <f t="shared" ca="1" si="53"/>
        <v>0.11480982159580143</v>
      </c>
      <c r="CU17" s="2">
        <f t="shared" ca="1" si="54"/>
        <v>1.2553600693432445</v>
      </c>
      <c r="CV17" s="2">
        <f t="shared" ca="1" si="55"/>
        <v>2.0552548364085688</v>
      </c>
      <c r="CW17" s="2">
        <f t="shared" ca="1" si="56"/>
        <v>0.3333333333333332</v>
      </c>
      <c r="CX17" s="2">
        <f t="shared" ca="1" si="57"/>
        <v>5.5861599039671653E-2</v>
      </c>
      <c r="CY17" s="2">
        <f t="shared" ca="1" si="58"/>
        <v>0.61080506762699505</v>
      </c>
      <c r="CZ17" s="2">
        <f t="shared" si="59"/>
        <v>0.36418778308487981</v>
      </c>
      <c r="DA17" s="2">
        <f t="shared" si="60"/>
        <v>0.46064196889452508</v>
      </c>
      <c r="DB17" s="2">
        <f t="shared" si="61"/>
        <v>-0.56811196578261836</v>
      </c>
      <c r="DD17" s="2">
        <f t="shared" si="62"/>
        <v>1500.2317200511243</v>
      </c>
      <c r="DE17" s="2">
        <f t="shared" si="63"/>
        <v>15085.825675935726</v>
      </c>
      <c r="DF17" s="2">
        <f t="shared" si="64"/>
        <v>8.506812439400143</v>
      </c>
      <c r="DG17" s="2">
        <f t="shared" si="65"/>
        <v>1599.0602706812838</v>
      </c>
      <c r="DH17" s="2">
        <f t="shared" si="66"/>
        <v>1325.9102706812837</v>
      </c>
      <c r="DI17" s="2">
        <f t="shared" si="143"/>
        <v>13602.905801982104</v>
      </c>
      <c r="DJ17" s="2">
        <f t="shared" si="67"/>
        <v>8.506812439400143</v>
      </c>
      <c r="DK17" s="2">
        <f t="shared" si="68"/>
        <v>1599.0602706812838</v>
      </c>
      <c r="DL17" s="2">
        <f t="shared" si="69"/>
        <v>3</v>
      </c>
      <c r="DM17" s="2">
        <f t="shared" si="70"/>
        <v>-0.56811196578261836</v>
      </c>
      <c r="DN17" s="2">
        <f t="shared" si="71"/>
        <v>0.36418778308487981</v>
      </c>
      <c r="DO17" s="2">
        <f t="shared" si="72"/>
        <v>0.46064196889452508</v>
      </c>
      <c r="DP17" s="2">
        <f t="shared" si="73"/>
        <v>3.0660223225214778</v>
      </c>
      <c r="DQ17" s="2">
        <f t="shared" si="74"/>
        <v>15085.899999999994</v>
      </c>
      <c r="DR17" s="2">
        <f t="shared" si="75"/>
        <v>8.5065892122280076</v>
      </c>
      <c r="DS17" s="2">
        <f t="shared" si="76"/>
        <v>1500.2869937970431</v>
      </c>
      <c r="DT17" s="2">
        <f t="shared" si="77"/>
        <v>1325.96911703059</v>
      </c>
      <c r="DU17" s="2">
        <f t="shared" si="78"/>
        <v>1469.96911703059</v>
      </c>
      <c r="DV17" s="9">
        <f t="shared" ca="1" si="79"/>
        <v>3.0926290862876447</v>
      </c>
      <c r="DW17" s="2">
        <f t="shared" ca="1" si="80"/>
        <v>3.2118838879389502</v>
      </c>
      <c r="DX17" s="2">
        <f t="shared" si="81"/>
        <v>4595.2700000000004</v>
      </c>
      <c r="DY17" s="2">
        <f t="shared" ca="1" si="144"/>
        <v>1430.7086309240033</v>
      </c>
      <c r="DZ17" s="2">
        <f t="shared" ca="1" si="82"/>
        <v>4.5566543318137986</v>
      </c>
      <c r="EB17" s="2">
        <f t="shared" si="83"/>
        <v>0.84403727988687427</v>
      </c>
      <c r="EC17" s="2">
        <f t="shared" si="84"/>
        <v>5.1040042575330449E-3</v>
      </c>
      <c r="ED17" s="2">
        <f t="shared" si="85"/>
        <v>0.13290879747161405</v>
      </c>
      <c r="EE17" s="2">
        <f t="shared" si="86"/>
        <v>0.11551449743503145</v>
      </c>
      <c r="EF17" s="2">
        <f t="shared" si="87"/>
        <v>2.3445784972522849E-3</v>
      </c>
      <c r="EG17" s="2">
        <f t="shared" si="88"/>
        <v>0.36188694878030386</v>
      </c>
      <c r="EH17" s="2">
        <f t="shared" si="89"/>
        <v>0.1875576222839733</v>
      </c>
      <c r="EI17" s="2">
        <f t="shared" si="90"/>
        <v>1.9714362446680338E-2</v>
      </c>
      <c r="EJ17" s="2">
        <f t="shared" si="91"/>
        <v>4.8765094336314938E-3</v>
      </c>
      <c r="EK17" s="2">
        <f t="shared" si="92"/>
        <v>0</v>
      </c>
      <c r="EL17" s="2">
        <f t="shared" si="93"/>
        <v>4.3112170816077288E-4</v>
      </c>
      <c r="EM17" s="2">
        <f t="shared" si="94"/>
        <v>1.6743757222010547</v>
      </c>
      <c r="EN17" s="2">
        <f t="shared" si="95"/>
        <v>0.50409072987354531</v>
      </c>
      <c r="EO17" s="2">
        <f t="shared" si="95"/>
        <v>3.0483028330245757E-3</v>
      </c>
      <c r="EP17" s="2">
        <f t="shared" si="95"/>
        <v>7.9378120280493833E-2</v>
      </c>
      <c r="EQ17" s="2">
        <f t="shared" si="95"/>
        <v>6.8989591704770772E-2</v>
      </c>
      <c r="ER17" s="2">
        <f t="shared" si="95"/>
        <v>1.4002702417174405E-3</v>
      </c>
      <c r="ES17" s="2">
        <f t="shared" si="95"/>
        <v>0.21613246297227989</v>
      </c>
      <c r="ET17" s="2">
        <f t="shared" si="95"/>
        <v>0.11201644875584971</v>
      </c>
      <c r="EU17" s="2">
        <f t="shared" si="95"/>
        <v>1.1774156890404966E-2</v>
      </c>
      <c r="EV17" s="2">
        <f t="shared" si="95"/>
        <v>2.9124343891113436E-3</v>
      </c>
      <c r="EW17" s="2">
        <f t="shared" si="95"/>
        <v>0</v>
      </c>
      <c r="EX17" s="2">
        <f t="shared" si="95"/>
        <v>2.5748205880221485E-4</v>
      </c>
      <c r="EY17" s="2">
        <f t="shared" si="96"/>
        <v>1.0000000000000002</v>
      </c>
      <c r="EZ17" s="2">
        <f t="shared" si="97"/>
        <v>0.14507266825686585</v>
      </c>
      <c r="FA17" s="2">
        <f t="shared" si="98"/>
        <v>0.60850019962174906</v>
      </c>
      <c r="FB17" s="2">
        <f t="shared" si="99"/>
        <v>1.5232490131543566</v>
      </c>
      <c r="FC17" s="2">
        <f t="shared" si="100"/>
        <v>0.61249722782171689</v>
      </c>
      <c r="FD17" s="2">
        <f t="shared" si="101"/>
        <v>1.0065686555278905</v>
      </c>
      <c r="FE17" s="2">
        <f t="shared" ca="1" si="102"/>
        <v>0.12780045693821646</v>
      </c>
      <c r="FF17" s="2">
        <f t="shared" ca="1" si="103"/>
        <v>0.12780045693821646</v>
      </c>
      <c r="FG17" s="2">
        <f t="shared" ca="1" si="104"/>
        <v>0.13325901453250813</v>
      </c>
      <c r="FH17" s="2">
        <f t="shared" ca="1" si="105"/>
        <v>-3.8830432819846723</v>
      </c>
      <c r="FI17" s="2">
        <f t="shared" ca="1" si="106"/>
        <v>7.0220571253250836E-3</v>
      </c>
      <c r="FJ17" s="2">
        <f t="shared" ca="1" si="107"/>
        <v>5.4945477454120609E-2</v>
      </c>
      <c r="FK17" s="2">
        <f t="shared" ca="1" si="108"/>
        <v>0.2542213080742417</v>
      </c>
      <c r="FL17" s="2">
        <f t="shared" ca="1" si="109"/>
        <v>9.1455690203580756E-2</v>
      </c>
      <c r="FM17" s="2">
        <f t="shared" ca="1" si="145"/>
        <v>0.35974832674872564</v>
      </c>
      <c r="FN17" s="2">
        <f t="shared" ca="1" si="146"/>
        <v>9.145569020358077E-2</v>
      </c>
      <c r="FO17" s="2">
        <f t="shared" ca="1" si="110"/>
        <v>9.14556902035807E-2</v>
      </c>
      <c r="FP17" s="2">
        <f t="shared" ca="1" si="147"/>
        <v>1.832415202880985</v>
      </c>
      <c r="FQ17" s="2">
        <f t="shared" ca="1" si="111"/>
        <v>0.16758479711901497</v>
      </c>
      <c r="FR17" s="2">
        <f t="shared" si="148"/>
        <v>0.33333333333333331</v>
      </c>
      <c r="FS17" s="2">
        <f t="shared" ca="1" si="112"/>
        <v>5.586159903967166E-2</v>
      </c>
      <c r="FT17" s="2">
        <f t="shared" ca="1" si="113"/>
        <v>0.61080506762699505</v>
      </c>
      <c r="FU17" s="2">
        <f t="shared" si="114"/>
        <v>20.026666666666664</v>
      </c>
      <c r="FV17" s="2">
        <f t="shared" ca="1" si="115"/>
        <v>4.0136558910004085</v>
      </c>
      <c r="FW17" s="2">
        <f t="shared" ca="1" si="116"/>
        <v>24.615444225367899</v>
      </c>
      <c r="FX17" s="2">
        <f t="shared" ca="1" si="117"/>
        <v>48.65576678303497</v>
      </c>
      <c r="FY17" s="2">
        <f t="shared" ca="1" si="118"/>
        <v>41.159903523808921</v>
      </c>
      <c r="FZ17" s="2">
        <f t="shared" ca="1" si="118"/>
        <v>8.2490856816583324</v>
      </c>
      <c r="GA17" s="2">
        <f t="shared" ca="1" si="118"/>
        <v>50.59101079453275</v>
      </c>
      <c r="GB17" s="2">
        <f t="shared" ca="1" si="119"/>
        <v>91.620760144049257</v>
      </c>
      <c r="GC17" s="2">
        <f t="shared" si="120"/>
        <v>3000000000</v>
      </c>
      <c r="GD17" s="2">
        <f t="shared" si="149"/>
        <v>38</v>
      </c>
      <c r="GE17">
        <f t="shared" si="150"/>
        <v>1473.0934573999998</v>
      </c>
      <c r="GF17">
        <f t="shared" si="151"/>
        <v>1472.7640000000001</v>
      </c>
      <c r="GG17">
        <f t="shared" si="152"/>
        <v>1824.7890000000002</v>
      </c>
      <c r="GH17" s="2">
        <f t="shared" si="153"/>
        <v>-8.1066098109976049E-3</v>
      </c>
      <c r="GI17" s="2">
        <f t="shared" si="154"/>
        <v>1.2889999999999999</v>
      </c>
      <c r="GJ17" s="2">
        <f t="shared" si="155"/>
        <v>-1.7580000000000005</v>
      </c>
      <c r="GK17" s="2">
        <f t="shared" si="156"/>
        <v>1.4749999999999996</v>
      </c>
      <c r="GL17" s="2">
        <f t="shared" si="157"/>
        <v>8.1066098109976049E-3</v>
      </c>
      <c r="GM17">
        <f t="shared" si="158"/>
        <v>0.39728813559322051</v>
      </c>
      <c r="GN17">
        <f t="shared" si="159"/>
        <v>6.2707110191402335E-2</v>
      </c>
      <c r="GO17">
        <f t="shared" si="160"/>
        <v>-0.17359471416259706</v>
      </c>
      <c r="GP17">
        <f t="shared" si="161"/>
        <v>2.7480033257619007E-3</v>
      </c>
      <c r="GQ17">
        <f t="shared" si="162"/>
        <v>0.29129943502824862</v>
      </c>
      <c r="GR17">
        <f t="shared" si="163"/>
        <v>0.15783786268313718</v>
      </c>
      <c r="GS17">
        <f t="shared" si="164"/>
        <v>-0.11363560729695663</v>
      </c>
      <c r="GT17">
        <f t="shared" si="165"/>
        <v>2.3772163645384482E-3</v>
      </c>
      <c r="GU17">
        <f t="shared" si="166"/>
        <v>0.21557419515987833</v>
      </c>
      <c r="GV17">
        <f t="shared" si="167"/>
        <v>-0.61909808938927535</v>
      </c>
      <c r="GW17">
        <f t="shared" si="168"/>
        <v>-6.235758636176536E-3</v>
      </c>
      <c r="GY17" s="15">
        <f t="shared" si="169"/>
        <v>0.13436467719337453</v>
      </c>
      <c r="GZ17" s="2">
        <f t="shared" si="170"/>
        <v>8.2426423113518416E-2</v>
      </c>
      <c r="HA17" s="2">
        <f t="shared" si="171"/>
        <v>0.1177933634689249</v>
      </c>
      <c r="HB17" s="2">
        <f t="shared" si="172"/>
        <v>0.33458446377581785</v>
      </c>
      <c r="HC17" s="2">
        <f t="shared" si="173"/>
        <v>0.40158671947004421</v>
      </c>
      <c r="HD17" s="2">
        <f t="shared" si="174"/>
        <v>0.24635460410602544</v>
      </c>
      <c r="HE17" s="2">
        <f t="shared" si="175"/>
        <v>0.35205867642393035</v>
      </c>
      <c r="HF17" s="2">
        <f t="shared" si="176"/>
        <v>-1.0854101181903468</v>
      </c>
      <c r="HG17" s="2">
        <f t="shared" si="177"/>
        <v>-1.0841820222080281</v>
      </c>
      <c r="HH17" s="2">
        <f t="shared" si="178"/>
        <v>-1.0847960701991874</v>
      </c>
      <c r="HI17" s="2">
        <f t="shared" si="179"/>
        <v>3.4785712990111435</v>
      </c>
      <c r="HJ17" s="2">
        <f t="shared" si="180"/>
        <v>8.3849451879042927E-2</v>
      </c>
      <c r="HK17" s="2">
        <f t="shared" si="181"/>
        <v>0.33204311263263669</v>
      </c>
      <c r="HL17" s="2">
        <f t="shared" si="182"/>
        <v>0.96629804934121433</v>
      </c>
    </row>
    <row r="18" spans="1:220" s="2" customFormat="1" ht="20.25">
      <c r="A18" s="99" t="s">
        <v>165</v>
      </c>
      <c r="B18" s="77">
        <v>190</v>
      </c>
      <c r="C18" s="94">
        <f t="shared" si="126"/>
        <v>-3.3630637390707792</v>
      </c>
      <c r="D18" s="59">
        <f t="shared" si="1"/>
        <v>-3.1996640591037488</v>
      </c>
      <c r="E18" s="60">
        <f t="shared" si="2"/>
        <v>-3.3630637390707792</v>
      </c>
      <c r="F18" s="66">
        <v>46.609347953831637</v>
      </c>
      <c r="G18" s="66">
        <v>0.97367092958835555</v>
      </c>
      <c r="H18" s="66">
        <v>8.8590628345492579</v>
      </c>
      <c r="I18" s="66">
        <v>10.022228152231332</v>
      </c>
      <c r="J18" s="66">
        <v>0.15661797380583559</v>
      </c>
      <c r="K18" s="66">
        <v>21.469531189889192</v>
      </c>
      <c r="L18" s="66">
        <v>8.3156992628669872</v>
      </c>
      <c r="M18" s="66">
        <v>2.58527757911135</v>
      </c>
      <c r="N18" s="66">
        <v>0.72030558688667934</v>
      </c>
      <c r="O18" s="66"/>
      <c r="P18" s="66">
        <v>0.29814473919745776</v>
      </c>
      <c r="Q18" s="66">
        <v>0.17477777777777778</v>
      </c>
      <c r="R18" s="3">
        <f t="shared" si="3"/>
        <v>100.00988620195808</v>
      </c>
      <c r="S18" s="135">
        <v>3</v>
      </c>
      <c r="T18" s="288">
        <f t="shared" si="127"/>
        <v>0.34655691242013847</v>
      </c>
      <c r="U18" s="54">
        <f t="shared" si="4"/>
        <v>1621.2512910620544</v>
      </c>
      <c r="V18" s="54">
        <f t="shared" ca="1" si="4"/>
        <v>1603.1659101532055</v>
      </c>
      <c r="W18" s="54">
        <f t="shared" si="5"/>
        <v>1617.7679699509433</v>
      </c>
      <c r="X18" s="101">
        <f t="shared" ca="1" si="6"/>
        <v>1782.3223292584948</v>
      </c>
      <c r="Y18" s="101">
        <f t="shared" ca="1" si="7"/>
        <v>1727.5709069364923</v>
      </c>
      <c r="Z18" s="50">
        <f t="shared" ca="1" si="8"/>
        <v>1777.5024163656899</v>
      </c>
      <c r="AA18" s="50">
        <f t="shared" ca="1" si="9"/>
        <v>1742.0691616536878</v>
      </c>
      <c r="AB18" s="103">
        <f t="shared" ca="1" si="128"/>
        <v>46.631889441611825</v>
      </c>
      <c r="AC18" s="283">
        <v>13.3</v>
      </c>
      <c r="AD18" s="283">
        <f t="shared" ca="1" si="10"/>
        <v>12.501653709182369</v>
      </c>
      <c r="AE18" s="3">
        <f t="shared" ca="1" si="11"/>
        <v>118.89235877232606</v>
      </c>
      <c r="AF18" s="3">
        <f t="shared" ca="1" si="12"/>
        <v>214.12898637622726</v>
      </c>
      <c r="AG18" s="3">
        <f t="shared" ca="1" si="13"/>
        <v>555.23710630858136</v>
      </c>
      <c r="AH18" s="3">
        <f t="shared" ca="1" si="14"/>
        <v>176.40821262802953</v>
      </c>
      <c r="AI18" s="85">
        <f t="shared" si="129"/>
        <v>0.4482102382003143</v>
      </c>
      <c r="AJ18" s="85">
        <f t="shared" ca="1" si="15"/>
        <v>3.4291041552396031</v>
      </c>
      <c r="AK18" s="85">
        <f t="shared" si="16"/>
        <v>0.27249585413605915</v>
      </c>
      <c r="AL18" s="86">
        <f t="shared" ca="1" si="130"/>
        <v>0.26569258324507661</v>
      </c>
      <c r="AM18" s="85">
        <f t="shared" si="17"/>
        <v>0.34655691242013847</v>
      </c>
      <c r="AN18" s="85">
        <f t="shared" ca="1" si="131"/>
        <v>0.34655691242013836</v>
      </c>
      <c r="AO18" s="123">
        <f t="shared" ca="1" si="18"/>
        <v>41.49626085167192</v>
      </c>
      <c r="AP18" s="123">
        <f t="shared" ca="1" si="19"/>
        <v>6.4554644416747777</v>
      </c>
      <c r="AQ18" s="123">
        <f t="shared" ca="1" si="20"/>
        <v>52.048274706653302</v>
      </c>
      <c r="AS18" s="53">
        <f t="shared" ca="1" si="132"/>
        <v>83.282266462474652</v>
      </c>
      <c r="AT18" s="53">
        <f t="shared" ca="1" si="21"/>
        <v>93.495832992751644</v>
      </c>
      <c r="AU18" s="63">
        <f t="shared" ca="1" si="22"/>
        <v>0.34655691242013836</v>
      </c>
      <c r="AV18" s="53">
        <f t="shared" si="23"/>
        <v>2.1796444565329471</v>
      </c>
      <c r="AW18" s="53">
        <f t="shared" ca="1" si="24"/>
        <v>2.2082318623490278</v>
      </c>
      <c r="AX18" s="54">
        <f t="shared" si="25"/>
        <v>1668.0711717328281</v>
      </c>
      <c r="AY18" s="54">
        <f t="shared" si="133"/>
        <v>1621.2512910620544</v>
      </c>
      <c r="AZ18" s="54">
        <f t="shared" ca="1" si="26"/>
        <v>1603.1659101532055</v>
      </c>
      <c r="BA18" s="34"/>
      <c r="BB18" s="63">
        <f t="shared" ca="1" si="27"/>
        <v>0.31771690080451509</v>
      </c>
      <c r="BC18" s="63">
        <f t="shared" ca="1" si="28"/>
        <v>3.5750828583613246E-2</v>
      </c>
      <c r="BD18" s="53">
        <f t="shared" si="29"/>
        <v>0.24366750227389444</v>
      </c>
      <c r="BE18" s="53">
        <f t="shared" ca="1" si="30"/>
        <v>0.32486492526366523</v>
      </c>
      <c r="BF18" s="53">
        <f t="shared" ca="1" si="31"/>
        <v>0.25118970982794186</v>
      </c>
      <c r="BG18"/>
      <c r="BH18" s="53">
        <f t="shared" si="32"/>
        <v>0.27536492021388548</v>
      </c>
      <c r="BI18" s="53">
        <f t="shared" si="33"/>
        <v>0.31056887634536495</v>
      </c>
      <c r="BJ18"/>
      <c r="BK18" s="53">
        <f t="shared" si="134"/>
        <v>0.54891897329536565</v>
      </c>
      <c r="BL18" s="53">
        <f t="shared" si="135"/>
        <v>0.40689928780181794</v>
      </c>
      <c r="BM18" s="53">
        <f t="shared" si="136"/>
        <v>0.57919559127812015</v>
      </c>
      <c r="BN18" s="53">
        <f t="shared" si="137"/>
        <v>0.32809526406849809</v>
      </c>
      <c r="BO18" s="53">
        <f t="shared" si="138"/>
        <v>0.20491018685284973</v>
      </c>
      <c r="BP18" s="53">
        <f t="shared" si="139"/>
        <v>0.16510799822071898</v>
      </c>
      <c r="BQ18" s="54">
        <f t="shared" si="140"/>
        <v>1470.1060379111163</v>
      </c>
      <c r="BR18" s="262">
        <f t="shared" si="141"/>
        <v>5.7879582464539023</v>
      </c>
      <c r="BS18" s="54">
        <f t="shared" si="142"/>
        <v>1716.9029249409432</v>
      </c>
      <c r="BT18"/>
      <c r="BU18" s="2">
        <f t="shared" si="37"/>
        <v>0.77578808178814307</v>
      </c>
      <c r="BV18" s="2">
        <f t="shared" si="38"/>
        <v>1.2186119268940619E-2</v>
      </c>
      <c r="BW18" s="2">
        <f t="shared" si="39"/>
        <v>0.17377526156432441</v>
      </c>
      <c r="BX18" s="2">
        <f t="shared" si="40"/>
        <v>0.13948821367058223</v>
      </c>
      <c r="BY18" s="2">
        <f t="shared" si="41"/>
        <v>2.2077526614862645E-3</v>
      </c>
      <c r="BZ18" s="2">
        <f t="shared" si="42"/>
        <v>0.5327427094265309</v>
      </c>
      <c r="CA18" s="2">
        <f t="shared" si="43"/>
        <v>0.14828279712672945</v>
      </c>
      <c r="CB18" s="2">
        <f t="shared" si="44"/>
        <v>8.3422961571840926E-2</v>
      </c>
      <c r="CC18" s="2">
        <f t="shared" si="45"/>
        <v>1.5293112248124826E-2</v>
      </c>
      <c r="CD18" s="2">
        <f t="shared" si="46"/>
        <v>0</v>
      </c>
      <c r="CE18" s="2">
        <f t="shared" si="47"/>
        <v>4.200996747885836E-3</v>
      </c>
      <c r="CF18" s="2">
        <f t="shared" si="48"/>
        <v>1.8873880060745887</v>
      </c>
      <c r="CG18" s="2">
        <f t="shared" si="49"/>
        <v>0.41103794200835048</v>
      </c>
      <c r="CH18" s="2">
        <f t="shared" si="49"/>
        <v>6.4566052288768383E-3</v>
      </c>
      <c r="CI18" s="2">
        <f t="shared" si="49"/>
        <v>9.2071826781258512E-2</v>
      </c>
      <c r="CJ18" s="2">
        <f t="shared" si="49"/>
        <v>7.3905425498963201E-2</v>
      </c>
      <c r="CK18" s="2">
        <f t="shared" si="49"/>
        <v>1.1697396901858956E-3</v>
      </c>
      <c r="CL18" s="2">
        <f t="shared" si="49"/>
        <v>0.28226454110754645</v>
      </c>
      <c r="CM18" s="2">
        <f t="shared" si="49"/>
        <v>7.8565083941128627E-2</v>
      </c>
      <c r="CN18" s="2">
        <f t="shared" si="49"/>
        <v>4.4200218133919882E-2</v>
      </c>
      <c r="CO18" s="2">
        <f t="shared" si="49"/>
        <v>8.1027919001835855E-3</v>
      </c>
      <c r="CP18" s="2">
        <f t="shared" si="50"/>
        <v>0</v>
      </c>
      <c r="CQ18" s="2">
        <f t="shared" si="51"/>
        <v>2.2258257095864021E-3</v>
      </c>
      <c r="CS18" s="2">
        <f t="shared" ca="1" si="52"/>
        <v>0.69068343627949269</v>
      </c>
      <c r="CT18" s="2">
        <f t="shared" ca="1" si="53"/>
        <v>8.9846408374040065E-2</v>
      </c>
      <c r="CU18" s="2">
        <f t="shared" ca="1" si="54"/>
        <v>1.2915204641849456</v>
      </c>
      <c r="CV18" s="2">
        <f t="shared" ca="1" si="55"/>
        <v>2.0720503088384783</v>
      </c>
      <c r="CW18" s="2">
        <f t="shared" ca="1" si="56"/>
        <v>0.33333333333333331</v>
      </c>
      <c r="CX18" s="2">
        <f t="shared" ca="1" si="57"/>
        <v>4.3361113381655748E-2</v>
      </c>
      <c r="CY18" s="2">
        <f t="shared" ca="1" si="58"/>
        <v>0.62330555328501103</v>
      </c>
      <c r="CZ18" s="2">
        <f t="shared" si="59"/>
        <v>0.43590479023782419</v>
      </c>
      <c r="DA18" s="2">
        <f t="shared" si="60"/>
        <v>0.41103794200835048</v>
      </c>
      <c r="DB18" s="2">
        <f t="shared" si="61"/>
        <v>-0.3834078024615637</v>
      </c>
      <c r="DD18" s="2">
        <f t="shared" si="62"/>
        <v>1668.0711717328281</v>
      </c>
      <c r="DE18" s="2">
        <f t="shared" si="63"/>
        <v>15085.825675935726</v>
      </c>
      <c r="DF18" s="2">
        <f t="shared" si="64"/>
        <v>7.7713069976819726</v>
      </c>
      <c r="DG18" s="2">
        <f t="shared" si="65"/>
        <v>1750.4012910620545</v>
      </c>
      <c r="DH18" s="2">
        <f t="shared" si="66"/>
        <v>1477.2512910620544</v>
      </c>
      <c r="DI18" s="2">
        <f t="shared" si="143"/>
        <v>13602.905801982104</v>
      </c>
      <c r="DJ18" s="2">
        <f t="shared" si="67"/>
        <v>7.7713069976819726</v>
      </c>
      <c r="DK18" s="2">
        <f t="shared" si="68"/>
        <v>1750.4012910620545</v>
      </c>
      <c r="DL18" s="2">
        <f t="shared" si="69"/>
        <v>3</v>
      </c>
      <c r="DM18" s="2">
        <f t="shared" si="70"/>
        <v>-0.3834078024615637</v>
      </c>
      <c r="DN18" s="2">
        <f t="shared" si="71"/>
        <v>0.43590479023782425</v>
      </c>
      <c r="DO18" s="2">
        <f t="shared" si="72"/>
        <v>0.41103794200835048</v>
      </c>
      <c r="DP18" s="2">
        <f t="shared" si="73"/>
        <v>2.1796444565329471</v>
      </c>
      <c r="DQ18" s="2">
        <f t="shared" si="74"/>
        <v>15085.899999999994</v>
      </c>
      <c r="DR18" s="2">
        <f t="shared" si="75"/>
        <v>7.7710837705098372</v>
      </c>
      <c r="DS18" s="2">
        <f t="shared" si="76"/>
        <v>1668.1364981907477</v>
      </c>
      <c r="DT18" s="2">
        <f t="shared" si="77"/>
        <v>1477.3200543342027</v>
      </c>
      <c r="DU18" s="2">
        <f t="shared" si="78"/>
        <v>1621.3200543342027</v>
      </c>
      <c r="DV18" s="9">
        <f t="shared" ca="1" si="79"/>
        <v>2.2082318623490278</v>
      </c>
      <c r="DW18" s="2">
        <f t="shared" ca="1" si="80"/>
        <v>2.7919704974160489</v>
      </c>
      <c r="DX18" s="2">
        <f t="shared" si="81"/>
        <v>4595.2700000000004</v>
      </c>
      <c r="DY18" s="2">
        <f t="shared" ca="1" si="144"/>
        <v>1645.8877356522548</v>
      </c>
      <c r="DZ18" s="2">
        <f t="shared" ca="1" si="82"/>
        <v>3.4443217627066431</v>
      </c>
      <c r="EB18" s="2">
        <f t="shared" si="83"/>
        <v>0.77578808178814307</v>
      </c>
      <c r="EC18" s="2">
        <f t="shared" si="84"/>
        <v>1.2186119268940619E-2</v>
      </c>
      <c r="ED18" s="2">
        <f t="shared" si="85"/>
        <v>8.6887630782162203E-2</v>
      </c>
      <c r="EE18" s="2">
        <f t="shared" si="86"/>
        <v>0.13948821367058223</v>
      </c>
      <c r="EF18" s="2">
        <f t="shared" si="87"/>
        <v>2.2077526614862645E-3</v>
      </c>
      <c r="EG18" s="2">
        <f t="shared" si="88"/>
        <v>0.5327427094265309</v>
      </c>
      <c r="EH18" s="2">
        <f t="shared" si="89"/>
        <v>0.14828279712672945</v>
      </c>
      <c r="EI18" s="2">
        <f t="shared" si="90"/>
        <v>4.1711480785920463E-2</v>
      </c>
      <c r="EJ18" s="2">
        <f t="shared" si="91"/>
        <v>7.6465561240624128E-3</v>
      </c>
      <c r="EK18" s="2">
        <f t="shared" si="92"/>
        <v>0</v>
      </c>
      <c r="EL18" s="2">
        <f t="shared" si="93"/>
        <v>2.100498373942918E-3</v>
      </c>
      <c r="EM18" s="2">
        <f t="shared" si="94"/>
        <v>1.7490418400085008</v>
      </c>
      <c r="EN18" s="2">
        <f t="shared" si="95"/>
        <v>0.44355032798093186</v>
      </c>
      <c r="EO18" s="2">
        <f t="shared" si="95"/>
        <v>6.9673114674497381E-3</v>
      </c>
      <c r="EP18" s="2">
        <f t="shared" si="95"/>
        <v>4.9677274033501626E-2</v>
      </c>
      <c r="EQ18" s="2">
        <f t="shared" si="95"/>
        <v>7.9751216054330804E-2</v>
      </c>
      <c r="ER18" s="2">
        <f t="shared" si="95"/>
        <v>1.262264064235041E-3</v>
      </c>
      <c r="ES18" s="2">
        <f t="shared" si="95"/>
        <v>0.30459117514532508</v>
      </c>
      <c r="ET18" s="2">
        <f t="shared" si="95"/>
        <v>8.4779445371077441E-2</v>
      </c>
      <c r="EU18" s="2">
        <f t="shared" si="95"/>
        <v>2.3848189238124647E-2</v>
      </c>
      <c r="EV18" s="2">
        <f t="shared" si="95"/>
        <v>4.3718543199774158E-3</v>
      </c>
      <c r="EW18" s="2">
        <f t="shared" si="95"/>
        <v>0</v>
      </c>
      <c r="EX18" s="2">
        <f t="shared" si="95"/>
        <v>1.2009423250462145E-3</v>
      </c>
      <c r="EY18" s="2">
        <f t="shared" si="96"/>
        <v>0.99999999999999967</v>
      </c>
      <c r="EZ18" s="2">
        <f t="shared" si="97"/>
        <v>9.2071826781258512E-2</v>
      </c>
      <c r="FA18" s="2">
        <f t="shared" si="98"/>
        <v>0.50956637401848581</v>
      </c>
      <c r="FB18" s="2">
        <f t="shared" si="99"/>
        <v>1.4407176941751845</v>
      </c>
      <c r="FC18" s="2">
        <f t="shared" si="100"/>
        <v>0.84316989227642569</v>
      </c>
      <c r="FD18" s="2">
        <f t="shared" si="101"/>
        <v>1.6546811863332205</v>
      </c>
      <c r="FE18" s="2">
        <f t="shared" ca="1" si="102"/>
        <v>0.15217648943642501</v>
      </c>
      <c r="FF18" s="2">
        <f t="shared" ca="1" si="103"/>
        <v>0.15217648943642501</v>
      </c>
      <c r="FG18" s="2">
        <f t="shared" ca="1" si="104"/>
        <v>0.19477248768477853</v>
      </c>
      <c r="FH18" s="2">
        <f t="shared" ca="1" si="105"/>
        <v>-2.4741725705819473</v>
      </c>
      <c r="FI18" s="2">
        <f t="shared" ca="1" si="106"/>
        <v>9.3044293101713985E-3</v>
      </c>
      <c r="FJ18" s="2">
        <f t="shared" ca="1" si="107"/>
        <v>6.1142357433988007E-2</v>
      </c>
      <c r="FK18" s="2">
        <f t="shared" ca="1" si="108"/>
        <v>0.20073581384889452</v>
      </c>
      <c r="FL18" s="2">
        <f t="shared" ca="1" si="109"/>
        <v>6.956638385961654E-2</v>
      </c>
      <c r="FM18" s="2">
        <f t="shared" ca="1" si="145"/>
        <v>0.34655691242013836</v>
      </c>
      <c r="FN18" s="2">
        <f t="shared" ca="1" si="146"/>
        <v>6.9566383859616554E-2</v>
      </c>
      <c r="FO18" s="2">
        <f t="shared" ca="1" si="110"/>
        <v>6.9566383859616554E-2</v>
      </c>
      <c r="FP18" s="2">
        <f t="shared" ca="1" si="147"/>
        <v>1.8699166598550327</v>
      </c>
      <c r="FQ18" s="2">
        <f t="shared" ca="1" si="111"/>
        <v>0.13008334014496725</v>
      </c>
      <c r="FR18" s="2">
        <f t="shared" si="148"/>
        <v>0.33333333333333331</v>
      </c>
      <c r="FS18" s="2">
        <f t="shared" ca="1" si="112"/>
        <v>4.3361113381655748E-2</v>
      </c>
      <c r="FT18" s="2">
        <f t="shared" ca="1" si="113"/>
        <v>0.62330555328501092</v>
      </c>
      <c r="FU18" s="2">
        <f t="shared" si="114"/>
        <v>20.026666666666664</v>
      </c>
      <c r="FV18" s="2">
        <f t="shared" ca="1" si="115"/>
        <v>3.1154959964719651</v>
      </c>
      <c r="FW18" s="2">
        <f t="shared" ca="1" si="116"/>
        <v>25.119213797385939</v>
      </c>
      <c r="FX18" s="2">
        <f t="shared" ca="1" si="117"/>
        <v>48.261376460524566</v>
      </c>
      <c r="FY18" s="2">
        <f t="shared" ca="1" si="118"/>
        <v>41.49626085167192</v>
      </c>
      <c r="FZ18" s="2">
        <f t="shared" ca="1" si="118"/>
        <v>6.4554644416747777</v>
      </c>
      <c r="GA18" s="2">
        <f t="shared" ca="1" si="118"/>
        <v>52.048274706653302</v>
      </c>
      <c r="GB18" s="2">
        <f t="shared" ca="1" si="119"/>
        <v>93.495832992751644</v>
      </c>
      <c r="GC18" s="2">
        <f t="shared" si="120"/>
        <v>3000000000</v>
      </c>
      <c r="GD18" s="2">
        <f t="shared" si="149"/>
        <v>38</v>
      </c>
      <c r="GE18">
        <f t="shared" si="150"/>
        <v>1473.0934573999998</v>
      </c>
      <c r="GF18">
        <f t="shared" si="151"/>
        <v>1472.7640000000001</v>
      </c>
      <c r="GG18">
        <f t="shared" si="152"/>
        <v>1824.7890000000002</v>
      </c>
      <c r="GH18" s="2">
        <f t="shared" si="153"/>
        <v>0.42180893704155742</v>
      </c>
      <c r="GI18" s="2">
        <f t="shared" si="154"/>
        <v>1.2889999999999999</v>
      </c>
      <c r="GJ18" s="2">
        <f t="shared" si="155"/>
        <v>-1.7580000000000005</v>
      </c>
      <c r="GK18" s="2">
        <f t="shared" si="156"/>
        <v>1.4749999999999996</v>
      </c>
      <c r="GL18" s="2">
        <f t="shared" si="157"/>
        <v>-0.42180893704155742</v>
      </c>
      <c r="GM18">
        <f t="shared" si="158"/>
        <v>0.39728813559322051</v>
      </c>
      <c r="GN18">
        <f t="shared" si="159"/>
        <v>6.2707110191402335E-2</v>
      </c>
      <c r="GO18">
        <f t="shared" si="160"/>
        <v>-0.17359471416259706</v>
      </c>
      <c r="GP18">
        <f t="shared" si="161"/>
        <v>-0.14298608035307034</v>
      </c>
      <c r="GQ18">
        <f t="shared" si="162"/>
        <v>0.29129943502824862</v>
      </c>
      <c r="GR18">
        <f t="shared" si="163"/>
        <v>0.15783786268313718</v>
      </c>
      <c r="GS18">
        <f t="shared" si="164"/>
        <v>3.2098476381875615E-2</v>
      </c>
      <c r="GT18">
        <f t="shared" si="165"/>
        <v>2.3772163645384482E-3</v>
      </c>
      <c r="GU18">
        <f t="shared" si="166"/>
        <v>0.44892337920661768</v>
      </c>
      <c r="GV18">
        <f t="shared" si="167"/>
        <v>-0.29729254150447254</v>
      </c>
      <c r="GW18">
        <f t="shared" si="168"/>
        <v>0.54891897329536565</v>
      </c>
      <c r="GY18" s="15">
        <f t="shared" si="169"/>
        <v>0.18689367750520205</v>
      </c>
      <c r="GZ18" s="2">
        <f t="shared" si="170"/>
        <v>5.6644585500951361E-2</v>
      </c>
      <c r="HA18" s="2">
        <f t="shared" si="171"/>
        <v>2.7195627561245508E-2</v>
      </c>
      <c r="HB18" s="2">
        <f t="shared" si="172"/>
        <v>0.27073389056739894</v>
      </c>
      <c r="HC18" s="2">
        <f t="shared" si="173"/>
        <v>0.69032243105402813</v>
      </c>
      <c r="HD18" s="2">
        <f t="shared" si="174"/>
        <v>0.20922606099382945</v>
      </c>
      <c r="HE18" s="2">
        <f t="shared" si="175"/>
        <v>0.10045150795214235</v>
      </c>
      <c r="HF18" s="2">
        <f t="shared" si="176"/>
        <v>-1.3598269690432772</v>
      </c>
      <c r="HG18" s="2">
        <f t="shared" si="177"/>
        <v>-1.3586568051814669</v>
      </c>
      <c r="HH18" s="2">
        <f t="shared" si="178"/>
        <v>-1.3592418871123719</v>
      </c>
      <c r="HI18" s="2">
        <f t="shared" si="179"/>
        <v>1.7006374550212668</v>
      </c>
      <c r="HJ18" s="2">
        <f t="shared" si="180"/>
        <v>0.26933888620948565</v>
      </c>
      <c r="HK18" s="2">
        <f t="shared" si="181"/>
        <v>0.34677616769866537</v>
      </c>
      <c r="HL18" s="2">
        <f t="shared" si="182"/>
        <v>0.80022125601026561</v>
      </c>
    </row>
    <row r="19" spans="1:220" s="2" customFormat="1" ht="20.25">
      <c r="A19" s="99" t="s">
        <v>166</v>
      </c>
      <c r="B19" s="77">
        <v>180</v>
      </c>
      <c r="C19" s="94">
        <f t="shared" si="126"/>
        <v>-3.3176435222635727</v>
      </c>
      <c r="D19" s="59">
        <f t="shared" si="1"/>
        <v>-3.1548823663540899</v>
      </c>
      <c r="E19" s="60">
        <f t="shared" si="2"/>
        <v>-3.3176435222635727</v>
      </c>
      <c r="F19" s="66">
        <v>45.476293109006548</v>
      </c>
      <c r="G19" s="66">
        <v>1.4775166992404998</v>
      </c>
      <c r="H19" s="66">
        <v>7.8556095195394811</v>
      </c>
      <c r="I19" s="66">
        <v>12.435007717973207</v>
      </c>
      <c r="J19" s="66">
        <v>0.19293424203998955</v>
      </c>
      <c r="K19" s="66">
        <v>22.826715877362375</v>
      </c>
      <c r="L19" s="66">
        <v>8.0824036243128337</v>
      </c>
      <c r="M19" s="66">
        <v>1.1751145919319974</v>
      </c>
      <c r="N19" s="66">
        <v>0.24628179889655699</v>
      </c>
      <c r="O19" s="66"/>
      <c r="P19" s="66">
        <v>0.15887340900575436</v>
      </c>
      <c r="Q19" s="66">
        <v>0.17477777777777778</v>
      </c>
      <c r="R19" s="3">
        <f t="shared" si="3"/>
        <v>99.92675058930925</v>
      </c>
      <c r="S19" s="135">
        <v>3</v>
      </c>
      <c r="T19" s="288">
        <f t="shared" si="127"/>
        <v>0.34695733929746703</v>
      </c>
      <c r="U19" s="54">
        <f t="shared" si="4"/>
        <v>1628.4655315211248</v>
      </c>
      <c r="V19" s="54">
        <f t="shared" ca="1" si="4"/>
        <v>1618.177849017879</v>
      </c>
      <c r="W19" s="54">
        <f t="shared" si="5"/>
        <v>1624.9822104100137</v>
      </c>
      <c r="X19" s="101">
        <f t="shared" ca="1" si="6"/>
        <v>1790.8679707155914</v>
      </c>
      <c r="Y19" s="101">
        <f t="shared" ca="1" si="7"/>
        <v>1689.9524603446864</v>
      </c>
      <c r="Z19" s="50">
        <f t="shared" ca="1" si="8"/>
        <v>1781.6335395644091</v>
      </c>
      <c r="AA19" s="50">
        <f t="shared" ca="1" si="9"/>
        <v>1748.9608695679883</v>
      </c>
      <c r="AB19" s="103">
        <f t="shared" ca="1" si="128"/>
        <v>64.652475367884307</v>
      </c>
      <c r="AC19" s="283">
        <v>13.3</v>
      </c>
      <c r="AD19" s="283">
        <f t="shared" ca="1" si="10"/>
        <v>12.612459980637881</v>
      </c>
      <c r="AE19" s="3">
        <f t="shared" ca="1" si="11"/>
        <v>119.78373579127694</v>
      </c>
      <c r="AF19" s="3">
        <f t="shared" ca="1" si="12"/>
        <v>214.23523852112135</v>
      </c>
      <c r="AG19" s="3">
        <f t="shared" ca="1" si="13"/>
        <v>559.12247031884772</v>
      </c>
      <c r="AH19" s="3">
        <f t="shared" ca="1" si="14"/>
        <v>168.62040049202304</v>
      </c>
      <c r="AI19" s="85">
        <f t="shared" si="129"/>
        <v>0.4629483908090552</v>
      </c>
      <c r="AJ19" s="85">
        <f t="shared" ca="1" si="15"/>
        <v>3.3579365566669042</v>
      </c>
      <c r="AK19" s="85">
        <f t="shared" si="16"/>
        <v>0.28618734218707342</v>
      </c>
      <c r="AL19" s="86">
        <f t="shared" ca="1" si="130"/>
        <v>0.27816463717016965</v>
      </c>
      <c r="AM19" s="85">
        <f t="shared" si="17"/>
        <v>0.34695733929746703</v>
      </c>
      <c r="AN19" s="85">
        <f t="shared" ca="1" si="131"/>
        <v>0.34695733929746742</v>
      </c>
      <c r="AO19" s="123">
        <f t="shared" ca="1" si="18"/>
        <v>41.257236213661045</v>
      </c>
      <c r="AP19" s="123">
        <f t="shared" ca="1" si="19"/>
        <v>7.7300603315265057</v>
      </c>
      <c r="AQ19" s="123">
        <f t="shared" ca="1" si="20"/>
        <v>51.012703454812439</v>
      </c>
      <c r="AS19" s="53">
        <f t="shared" ca="1" si="132"/>
        <v>80.32344494680585</v>
      </c>
      <c r="AT19" s="53">
        <f t="shared" ca="1" si="21"/>
        <v>92.166498917615257</v>
      </c>
      <c r="AU19" s="63">
        <f t="shared" ca="1" si="22"/>
        <v>0.34695733929746742</v>
      </c>
      <c r="AV19" s="53">
        <f t="shared" si="23"/>
        <v>1.9956317544288453</v>
      </c>
      <c r="AW19" s="53">
        <f t="shared" ca="1" si="24"/>
        <v>2.0190342917199877</v>
      </c>
      <c r="AX19" s="54">
        <f t="shared" si="25"/>
        <v>1676.0718721371463</v>
      </c>
      <c r="AY19" s="54">
        <f t="shared" si="133"/>
        <v>1628.4655315211248</v>
      </c>
      <c r="AZ19" s="54">
        <f t="shared" ca="1" si="26"/>
        <v>1618.177849017879</v>
      </c>
      <c r="BA19" s="34"/>
      <c r="BB19" s="63">
        <f t="shared" ca="1" si="27"/>
        <v>0.30158043978426552</v>
      </c>
      <c r="BC19" s="63">
        <f t="shared" ca="1" si="28"/>
        <v>6.1293730698507305E-2</v>
      </c>
      <c r="BD19" s="53">
        <f t="shared" si="29"/>
        <v>0.16561561816225362</v>
      </c>
      <c r="BE19" s="53">
        <f t="shared" ca="1" si="30"/>
        <v>0.31527528058388316</v>
      </c>
      <c r="BF19" s="53">
        <f t="shared" ca="1" si="31"/>
        <v>0.28019042639996267</v>
      </c>
      <c r="BG19"/>
      <c r="BH19" s="53">
        <f t="shared" si="32"/>
        <v>0.21352367744381154</v>
      </c>
      <c r="BI19" s="53">
        <f t="shared" si="33"/>
        <v>0.28788559898464788</v>
      </c>
      <c r="BJ19"/>
      <c r="BK19" s="53">
        <f t="shared" si="134"/>
        <v>0.57766908505396897</v>
      </c>
      <c r="BL19" s="53">
        <f t="shared" si="135"/>
        <v>0.21140590957296748</v>
      </c>
      <c r="BM19" s="53">
        <f t="shared" si="136"/>
        <v>0.34837401271350038</v>
      </c>
      <c r="BN19" s="53">
        <f t="shared" si="137"/>
        <v>0.37380139388664135</v>
      </c>
      <c r="BO19" s="53">
        <f t="shared" si="138"/>
        <v>0.316360099866827</v>
      </c>
      <c r="BP19" s="53">
        <f t="shared" si="139"/>
        <v>0.27158837908663613</v>
      </c>
      <c r="BQ19" s="54">
        <f t="shared" si="140"/>
        <v>1493.6024341683094</v>
      </c>
      <c r="BR19" s="262">
        <f t="shared" si="141"/>
        <v>6.8721908067496251</v>
      </c>
      <c r="BS19" s="54">
        <f t="shared" si="142"/>
        <v>1772.9718174587092</v>
      </c>
      <c r="BT19"/>
      <c r="BU19" s="2">
        <f t="shared" si="37"/>
        <v>0.75692897984365093</v>
      </c>
      <c r="BV19" s="2">
        <f t="shared" si="38"/>
        <v>1.8492073832797242E-2</v>
      </c>
      <c r="BW19" s="2">
        <f t="shared" si="39"/>
        <v>0.15409198743702396</v>
      </c>
      <c r="BX19" s="2">
        <f t="shared" si="40"/>
        <v>0.17306900094604324</v>
      </c>
      <c r="BY19" s="2">
        <f t="shared" si="41"/>
        <v>2.7196820135324154E-3</v>
      </c>
      <c r="BZ19" s="2">
        <f t="shared" si="42"/>
        <v>0.56641974881792501</v>
      </c>
      <c r="CA19" s="2">
        <f t="shared" si="43"/>
        <v>0.14412274651057122</v>
      </c>
      <c r="CB19" s="2">
        <f t="shared" si="44"/>
        <v>3.79191543056469E-2</v>
      </c>
      <c r="CC19" s="2">
        <f t="shared" si="45"/>
        <v>5.2289129277400632E-3</v>
      </c>
      <c r="CD19" s="2">
        <f t="shared" si="46"/>
        <v>0</v>
      </c>
      <c r="CE19" s="2">
        <f t="shared" si="47"/>
        <v>2.2385995350958764E-3</v>
      </c>
      <c r="CF19" s="2">
        <f t="shared" si="48"/>
        <v>1.8612308861700271</v>
      </c>
      <c r="CG19" s="2">
        <f t="shared" si="49"/>
        <v>0.40668193584581641</v>
      </c>
      <c r="CH19" s="2">
        <f t="shared" si="49"/>
        <v>9.9354002613021089E-3</v>
      </c>
      <c r="CI19" s="2">
        <f t="shared" si="49"/>
        <v>8.2790366623513773E-2</v>
      </c>
      <c r="CJ19" s="2">
        <f t="shared" si="49"/>
        <v>9.2986314718953703E-2</v>
      </c>
      <c r="CK19" s="2">
        <f t="shared" si="49"/>
        <v>1.4612276390538938E-3</v>
      </c>
      <c r="CL19" s="2">
        <f t="shared" si="49"/>
        <v>0.30432535427320512</v>
      </c>
      <c r="CM19" s="2">
        <f t="shared" si="49"/>
        <v>7.7434104270180978E-2</v>
      </c>
      <c r="CN19" s="2">
        <f t="shared" si="49"/>
        <v>2.0373159819884329E-2</v>
      </c>
      <c r="CO19" s="2">
        <f t="shared" si="49"/>
        <v>2.8093843523626072E-3</v>
      </c>
      <c r="CP19" s="2">
        <f t="shared" si="50"/>
        <v>0</v>
      </c>
      <c r="CQ19" s="2">
        <f t="shared" si="51"/>
        <v>1.202752195726982E-3</v>
      </c>
      <c r="CS19" s="2">
        <f t="shared" ca="1" si="52"/>
        <v>0.68670499689848608</v>
      </c>
      <c r="CT19" s="2">
        <f t="shared" ca="1" si="53"/>
        <v>0.10758608672966606</v>
      </c>
      <c r="CU19" s="2">
        <f t="shared" ca="1" si="54"/>
        <v>1.2658239070673063</v>
      </c>
      <c r="CV19" s="2">
        <f t="shared" ca="1" si="55"/>
        <v>2.0601149906954586</v>
      </c>
      <c r="CW19" s="2">
        <f t="shared" ca="1" si="56"/>
        <v>0.33333333333333326</v>
      </c>
      <c r="CX19" s="2">
        <f t="shared" ca="1" si="57"/>
        <v>5.2223340549231619E-2</v>
      </c>
      <c r="CY19" s="2">
        <f t="shared" ca="1" si="58"/>
        <v>0.61444332611743502</v>
      </c>
      <c r="CZ19" s="2">
        <f t="shared" si="59"/>
        <v>0.47620700090139367</v>
      </c>
      <c r="DA19" s="2">
        <f t="shared" si="60"/>
        <v>0.40668193584581641</v>
      </c>
      <c r="DB19" s="2">
        <f t="shared" si="61"/>
        <v>-0.37236288763962605</v>
      </c>
      <c r="DD19" s="2">
        <f t="shared" si="62"/>
        <v>1676.0718721371463</v>
      </c>
      <c r="DE19" s="2">
        <f t="shared" si="63"/>
        <v>15085.825675935726</v>
      </c>
      <c r="DF19" s="2">
        <f t="shared" si="64"/>
        <v>7.7394091927541719</v>
      </c>
      <c r="DG19" s="2">
        <f t="shared" si="65"/>
        <v>1757.6155315211249</v>
      </c>
      <c r="DH19" s="2">
        <f t="shared" si="66"/>
        <v>1484.4655315211248</v>
      </c>
      <c r="DI19" s="2">
        <f t="shared" si="143"/>
        <v>13602.905801982104</v>
      </c>
      <c r="DJ19" s="2">
        <f t="shared" si="67"/>
        <v>7.7394091927541719</v>
      </c>
      <c r="DK19" s="2">
        <f t="shared" si="68"/>
        <v>1757.6155315211249</v>
      </c>
      <c r="DL19" s="2">
        <f t="shared" si="69"/>
        <v>3</v>
      </c>
      <c r="DM19" s="2">
        <f t="shared" si="70"/>
        <v>-0.37236288763962605</v>
      </c>
      <c r="DN19" s="2">
        <f t="shared" si="71"/>
        <v>0.47620700090139367</v>
      </c>
      <c r="DO19" s="2">
        <f t="shared" si="72"/>
        <v>0.40668193584581641</v>
      </c>
      <c r="DP19" s="2">
        <f t="shared" si="73"/>
        <v>1.9956317544288453</v>
      </c>
      <c r="DQ19" s="2">
        <f t="shared" si="74"/>
        <v>15085.899999999994</v>
      </c>
      <c r="DR19" s="2">
        <f t="shared" si="75"/>
        <v>7.7391859655820365</v>
      </c>
      <c r="DS19" s="2">
        <f t="shared" si="76"/>
        <v>1676.1376986146229</v>
      </c>
      <c r="DT19" s="2">
        <f t="shared" si="77"/>
        <v>1484.5347862935359</v>
      </c>
      <c r="DU19" s="2">
        <f t="shared" si="78"/>
        <v>1628.5347862935359</v>
      </c>
      <c r="DV19" s="9">
        <f t="shared" ca="1" si="79"/>
        <v>2.0190342917199877</v>
      </c>
      <c r="DW19" s="2">
        <f t="shared" ca="1" si="80"/>
        <v>2.7987738416360939</v>
      </c>
      <c r="DX19" s="2">
        <f t="shared" si="81"/>
        <v>4595.2700000000004</v>
      </c>
      <c r="DY19" s="2">
        <f t="shared" ca="1" si="144"/>
        <v>1641.886861895822</v>
      </c>
      <c r="DZ19" s="2">
        <f t="shared" ca="1" si="82"/>
        <v>3.1660389546017331</v>
      </c>
      <c r="EB19" s="2">
        <f t="shared" si="83"/>
        <v>0.75692897984365093</v>
      </c>
      <c r="EC19" s="2">
        <f t="shared" si="84"/>
        <v>1.8492073832797242E-2</v>
      </c>
      <c r="ED19" s="2">
        <f t="shared" si="85"/>
        <v>7.7045993718511979E-2</v>
      </c>
      <c r="EE19" s="2">
        <f t="shared" si="86"/>
        <v>0.17306900094604324</v>
      </c>
      <c r="EF19" s="2">
        <f t="shared" si="87"/>
        <v>2.7196820135324154E-3</v>
      </c>
      <c r="EG19" s="2">
        <f t="shared" si="88"/>
        <v>0.56641974881792501</v>
      </c>
      <c r="EH19" s="2">
        <f t="shared" si="89"/>
        <v>0.14412274651057122</v>
      </c>
      <c r="EI19" s="2">
        <f t="shared" si="90"/>
        <v>1.895957715282345E-2</v>
      </c>
      <c r="EJ19" s="2">
        <f t="shared" si="91"/>
        <v>2.6144564638700316E-3</v>
      </c>
      <c r="EK19" s="2">
        <f t="shared" si="92"/>
        <v>0</v>
      </c>
      <c r="EL19" s="2">
        <f t="shared" si="93"/>
        <v>1.1192997675479382E-3</v>
      </c>
      <c r="EM19" s="2">
        <f t="shared" si="94"/>
        <v>1.7614915590672735</v>
      </c>
      <c r="EN19" s="2">
        <f t="shared" si="95"/>
        <v>0.42970911552051488</v>
      </c>
      <c r="EO19" s="2">
        <f t="shared" si="95"/>
        <v>1.0497963352483489E-2</v>
      </c>
      <c r="EP19" s="2">
        <f t="shared" si="95"/>
        <v>4.3739064954309841E-2</v>
      </c>
      <c r="EQ19" s="2">
        <f t="shared" si="95"/>
        <v>9.8251393857195043E-2</v>
      </c>
      <c r="ER19" s="2">
        <f t="shared" si="95"/>
        <v>1.5439653965600112E-3</v>
      </c>
      <c r="ES19" s="2">
        <f t="shared" si="95"/>
        <v>0.32155689075106875</v>
      </c>
      <c r="ET19" s="2">
        <f t="shared" si="95"/>
        <v>8.1818584805984307E-2</v>
      </c>
      <c r="EU19" s="2">
        <f t="shared" si="95"/>
        <v>1.0763365316869713E-2</v>
      </c>
      <c r="EV19" s="2">
        <f t="shared" si="95"/>
        <v>1.4842287778287233E-3</v>
      </c>
      <c r="EW19" s="2">
        <f t="shared" si="95"/>
        <v>0</v>
      </c>
      <c r="EX19" s="2">
        <f t="shared" si="95"/>
        <v>6.3542726718521323E-4</v>
      </c>
      <c r="EY19" s="2">
        <f t="shared" si="96"/>
        <v>0.99999999999999989</v>
      </c>
      <c r="EZ19" s="2">
        <f t="shared" si="97"/>
        <v>8.2790366623513773E-2</v>
      </c>
      <c r="FA19" s="2">
        <f t="shared" si="98"/>
        <v>0.49940770273063229</v>
      </c>
      <c r="FB19" s="2">
        <f t="shared" si="99"/>
        <v>1.4482253756263426</v>
      </c>
      <c r="FC19" s="2">
        <f t="shared" si="100"/>
        <v>0.898819940330156</v>
      </c>
      <c r="FD19" s="2">
        <f t="shared" si="101"/>
        <v>1.7997718806010417</v>
      </c>
      <c r="FE19" s="2">
        <f t="shared" ca="1" si="102"/>
        <v>0.12365465076211894</v>
      </c>
      <c r="FF19" s="2">
        <f t="shared" ca="1" si="103"/>
        <v>0.12365465076211894</v>
      </c>
      <c r="FG19" s="2">
        <f t="shared" ca="1" si="104"/>
        <v>0.18385148793311104</v>
      </c>
      <c r="FH19" s="2">
        <f t="shared" ca="1" si="105"/>
        <v>-2.5550047536630474</v>
      </c>
      <c r="FI19" s="2">
        <f t="shared" ca="1" si="106"/>
        <v>9.7403601331732433E-3</v>
      </c>
      <c r="FJ19" s="2">
        <f t="shared" ca="1" si="107"/>
        <v>7.877067359084855E-2</v>
      </c>
      <c r="FK19" s="2">
        <f t="shared" ca="1" si="108"/>
        <v>0.24496652336344543</v>
      </c>
      <c r="FL19" s="2">
        <f t="shared" ca="1" si="109"/>
        <v>8.4992933163131917E-2</v>
      </c>
      <c r="FM19" s="2">
        <f t="shared" ca="1" si="145"/>
        <v>0.34695733929746742</v>
      </c>
      <c r="FN19" s="2">
        <f t="shared" ca="1" si="146"/>
        <v>8.499293316313189E-2</v>
      </c>
      <c r="FO19" s="2">
        <f t="shared" ca="1" si="110"/>
        <v>8.499293316313182E-2</v>
      </c>
      <c r="FP19" s="2">
        <f t="shared" ca="1" si="147"/>
        <v>1.8433299783523052</v>
      </c>
      <c r="FQ19" s="2">
        <f t="shared" ca="1" si="111"/>
        <v>0.15667002164769483</v>
      </c>
      <c r="FR19" s="2">
        <f t="shared" si="148"/>
        <v>0.33333333333333331</v>
      </c>
      <c r="FS19" s="2">
        <f t="shared" ca="1" si="112"/>
        <v>5.2223340549231612E-2</v>
      </c>
      <c r="FT19" s="2">
        <f t="shared" ca="1" si="113"/>
        <v>0.61444332611743502</v>
      </c>
      <c r="FU19" s="2">
        <f t="shared" si="114"/>
        <v>20.026666666666664</v>
      </c>
      <c r="FV19" s="2">
        <f t="shared" ca="1" si="115"/>
        <v>3.7522470184622909</v>
      </c>
      <c r="FW19" s="2">
        <f t="shared" ca="1" si="116"/>
        <v>24.762066042532631</v>
      </c>
      <c r="FX19" s="2">
        <f t="shared" ca="1" si="117"/>
        <v>48.540979727661586</v>
      </c>
      <c r="FY19" s="2">
        <f t="shared" ca="1" si="118"/>
        <v>41.257236213661045</v>
      </c>
      <c r="FZ19" s="2">
        <f t="shared" ca="1" si="118"/>
        <v>7.7300603315265057</v>
      </c>
      <c r="GA19" s="2">
        <f t="shared" ca="1" si="118"/>
        <v>51.012703454812439</v>
      </c>
      <c r="GB19" s="2">
        <f t="shared" ca="1" si="119"/>
        <v>92.166498917615243</v>
      </c>
      <c r="GC19" s="2">
        <f t="shared" si="120"/>
        <v>3000000000</v>
      </c>
      <c r="GD19" s="2">
        <f t="shared" si="149"/>
        <v>38</v>
      </c>
      <c r="GE19">
        <f t="shared" si="150"/>
        <v>1473.0934573999998</v>
      </c>
      <c r="GF19">
        <f t="shared" si="151"/>
        <v>1472.7640000000001</v>
      </c>
      <c r="GG19">
        <f t="shared" si="152"/>
        <v>1824.7890000000002</v>
      </c>
      <c r="GH19" s="2">
        <f t="shared" si="153"/>
        <v>0.44230248283822077</v>
      </c>
      <c r="GI19" s="2">
        <f t="shared" si="154"/>
        <v>1.2889999999999999</v>
      </c>
      <c r="GJ19" s="2">
        <f t="shared" si="155"/>
        <v>-1.7580000000000005</v>
      </c>
      <c r="GK19" s="2">
        <f t="shared" si="156"/>
        <v>1.4749999999999996</v>
      </c>
      <c r="GL19" s="2">
        <f t="shared" si="157"/>
        <v>-0.44230248283822077</v>
      </c>
      <c r="GM19">
        <f t="shared" si="158"/>
        <v>0.39728813559322051</v>
      </c>
      <c r="GN19">
        <f t="shared" si="159"/>
        <v>6.2707110191402335E-2</v>
      </c>
      <c r="GO19">
        <f t="shared" si="160"/>
        <v>-0.17359471416259706</v>
      </c>
      <c r="GP19">
        <f t="shared" si="161"/>
        <v>-0.14993304502990537</v>
      </c>
      <c r="GQ19">
        <f t="shared" si="162"/>
        <v>0.29129943502824862</v>
      </c>
      <c r="GR19">
        <f t="shared" si="163"/>
        <v>0.15783786268313718</v>
      </c>
      <c r="GS19">
        <f t="shared" si="164"/>
        <v>3.9045441058710648E-2</v>
      </c>
      <c r="GT19">
        <f t="shared" si="165"/>
        <v>2.3772163645384482E-3</v>
      </c>
      <c r="GU19">
        <f t="shared" si="166"/>
        <v>0.46648277345199535</v>
      </c>
      <c r="GV19">
        <f t="shared" si="167"/>
        <v>-0.28610182399124684</v>
      </c>
      <c r="GW19">
        <f t="shared" si="168"/>
        <v>0.57766908505396897</v>
      </c>
      <c r="GY19" s="15">
        <f t="shared" si="169"/>
        <v>0.2064543137803512</v>
      </c>
      <c r="GZ19" s="2">
        <f t="shared" si="170"/>
        <v>5.4237028306793333E-2</v>
      </c>
      <c r="HA19" s="2">
        <f t="shared" si="171"/>
        <v>4.2145484881362466E-2</v>
      </c>
      <c r="HB19" s="2">
        <f t="shared" si="172"/>
        <v>0.302836826968507</v>
      </c>
      <c r="HC19" s="2">
        <f t="shared" si="173"/>
        <v>0.68173450318782092</v>
      </c>
      <c r="HD19" s="2">
        <f t="shared" si="174"/>
        <v>0.17909654136098058</v>
      </c>
      <c r="HE19" s="2">
        <f t="shared" si="175"/>
        <v>0.13916895545119853</v>
      </c>
      <c r="HF19" s="2">
        <f t="shared" si="176"/>
        <v>-1.3862639169857234</v>
      </c>
      <c r="HG19" s="2">
        <f t="shared" si="177"/>
        <v>-1.3684306791407108</v>
      </c>
      <c r="HH19" s="2">
        <f t="shared" si="178"/>
        <v>-1.3773472980632171</v>
      </c>
      <c r="HI19" s="2">
        <f t="shared" si="179"/>
        <v>1.9615106247501948</v>
      </c>
      <c r="HJ19" s="2">
        <f t="shared" si="180"/>
        <v>0.2430233022346637</v>
      </c>
      <c r="HK19" s="2">
        <f t="shared" si="181"/>
        <v>0.34870277735509025</v>
      </c>
      <c r="HL19" s="2">
        <f t="shared" si="182"/>
        <v>0.6449533592494775</v>
      </c>
    </row>
    <row r="20" spans="1:220" s="2" customFormat="1" ht="20.25">
      <c r="A20" s="99" t="s">
        <v>167</v>
      </c>
      <c r="B20" s="77">
        <v>131</v>
      </c>
      <c r="C20" s="94">
        <f t="shared" si="126"/>
        <v>-3.9127690609834733</v>
      </c>
      <c r="D20" s="59">
        <f t="shared" si="1"/>
        <v>-3.7406926379078964</v>
      </c>
      <c r="E20" s="60">
        <f t="shared" si="2"/>
        <v>-3.9127690609834733</v>
      </c>
      <c r="F20" s="66">
        <v>46.506672520589319</v>
      </c>
      <c r="G20" s="66">
        <v>0.82273389305409428</v>
      </c>
      <c r="H20" s="66">
        <v>12.539542098698787</v>
      </c>
      <c r="I20" s="66">
        <v>10.341753178564542</v>
      </c>
      <c r="J20" s="66">
        <v>0.17377073964892975</v>
      </c>
      <c r="K20" s="66">
        <v>17.739065615873571</v>
      </c>
      <c r="L20" s="66">
        <v>9.9633907484833149</v>
      </c>
      <c r="M20" s="66">
        <v>1.5283951330833059</v>
      </c>
      <c r="N20" s="66">
        <v>0.26256477761317365</v>
      </c>
      <c r="O20" s="66"/>
      <c r="P20" s="66">
        <v>8.1070900431035167E-2</v>
      </c>
      <c r="Q20" s="66">
        <v>0.17477777777777778</v>
      </c>
      <c r="R20" s="3">
        <f t="shared" si="3"/>
        <v>99.958959606040082</v>
      </c>
      <c r="S20" s="135">
        <v>3</v>
      </c>
      <c r="T20" s="288">
        <f t="shared" si="127"/>
        <v>0.34910234522464823</v>
      </c>
      <c r="U20" s="54">
        <f t="shared" si="4"/>
        <v>1538.1714130307246</v>
      </c>
      <c r="V20" s="54">
        <f t="shared" ca="1" si="4"/>
        <v>1529.6174354861398</v>
      </c>
      <c r="W20" s="54">
        <f t="shared" si="5"/>
        <v>1534.6880919196135</v>
      </c>
      <c r="X20" s="101">
        <f t="shared" ca="1" si="6"/>
        <v>1615.2308928188322</v>
      </c>
      <c r="Y20" s="101">
        <f t="shared" ca="1" si="7"/>
        <v>1553.9026088946962</v>
      </c>
      <c r="Z20" s="50">
        <f t="shared" ca="1" si="8"/>
        <v>1605.8318162057369</v>
      </c>
      <c r="AA20" s="50">
        <f t="shared" ca="1" si="9"/>
        <v>1585.6749095778991</v>
      </c>
      <c r="AB20" s="103">
        <f t="shared" ca="1" si="128"/>
        <v>38.695281648265478</v>
      </c>
      <c r="AC20" s="283">
        <v>13.3</v>
      </c>
      <c r="AD20" s="283">
        <f t="shared" ca="1" si="10"/>
        <v>11.958013048781039</v>
      </c>
      <c r="AE20" s="3">
        <f t="shared" ca="1" si="11"/>
        <v>114.03018195520092</v>
      </c>
      <c r="AF20" s="3">
        <f t="shared" ca="1" si="12"/>
        <v>213.59361152688479</v>
      </c>
      <c r="AG20" s="3">
        <f t="shared" ca="1" si="13"/>
        <v>533.86513360605852</v>
      </c>
      <c r="AH20" s="3">
        <f t="shared" ca="1" si="14"/>
        <v>91.931513238102553</v>
      </c>
      <c r="AI20" s="85">
        <f t="shared" si="129"/>
        <v>0.37074156830706079</v>
      </c>
      <c r="AJ20" s="85">
        <f t="shared" ca="1" si="15"/>
        <v>2.6691082706987617</v>
      </c>
      <c r="AK20" s="85">
        <f t="shared" si="16"/>
        <v>0.29326076913766852</v>
      </c>
      <c r="AL20" s="86">
        <f t="shared" ca="1" si="130"/>
        <v>0.27936474297788716</v>
      </c>
      <c r="AM20" s="85">
        <f t="shared" si="17"/>
        <v>0.34910234522464823</v>
      </c>
      <c r="AN20" s="85">
        <f t="shared" ca="1" si="131"/>
        <v>0.34910234522464828</v>
      </c>
      <c r="AO20" s="123">
        <f t="shared" ca="1" si="18"/>
        <v>41.161467418402417</v>
      </c>
      <c r="AP20" s="123">
        <f t="shared" ca="1" si="19"/>
        <v>8.2407462333168642</v>
      </c>
      <c r="AQ20" s="123">
        <f t="shared" ca="1" si="20"/>
        <v>50.597786348280707</v>
      </c>
      <c r="AS20" s="53">
        <f t="shared" ca="1" si="132"/>
        <v>79.259778683933078</v>
      </c>
      <c r="AT20" s="53">
        <f t="shared" ca="1" si="21"/>
        <v>91.629549212478594</v>
      </c>
      <c r="AU20" s="63">
        <f t="shared" ca="1" si="22"/>
        <v>0.34910234522464828</v>
      </c>
      <c r="AV20" s="53">
        <f t="shared" si="23"/>
        <v>2.5395193885846519</v>
      </c>
      <c r="AW20" s="53">
        <f t="shared" ca="1" si="24"/>
        <v>2.5682219952555347</v>
      </c>
      <c r="AX20" s="54">
        <f t="shared" si="25"/>
        <v>1575.9343463071887</v>
      </c>
      <c r="AY20" s="54">
        <f t="shared" si="133"/>
        <v>1538.1714130307246</v>
      </c>
      <c r="AZ20" s="54">
        <f t="shared" ca="1" si="26"/>
        <v>1529.6174354861398</v>
      </c>
      <c r="BA20" s="34"/>
      <c r="BB20" s="63">
        <f t="shared" ca="1" si="27"/>
        <v>0.17219988242562256</v>
      </c>
      <c r="BC20" s="63">
        <f t="shared" ca="1" si="28"/>
        <v>3.961013195978929E-2</v>
      </c>
      <c r="BD20" s="53">
        <f t="shared" si="29"/>
        <v>9.518785912584371E-2</v>
      </c>
      <c r="BE20" s="53">
        <f t="shared" ca="1" si="30"/>
        <v>0.18613889564391578</v>
      </c>
      <c r="BF20" s="53">
        <f t="shared" ca="1" si="31"/>
        <v>0.10910556684336363</v>
      </c>
      <c r="BG20"/>
      <c r="BH20" s="53">
        <f t="shared" si="32"/>
        <v>0.10395131338559714</v>
      </c>
      <c r="BI20" s="53">
        <f t="shared" si="33"/>
        <v>0.15826086920732937</v>
      </c>
      <c r="BJ20"/>
      <c r="BK20" s="53">
        <f t="shared" si="134"/>
        <v>0.18268574337023796</v>
      </c>
      <c r="BL20" s="53">
        <f t="shared" si="135"/>
        <v>0.10259039777453054</v>
      </c>
      <c r="BM20" s="53">
        <f t="shared" si="136"/>
        <v>0.14775446034471434</v>
      </c>
      <c r="BN20" s="53">
        <f t="shared" si="137"/>
        <v>0.27868515415524298</v>
      </c>
      <c r="BO20" s="53">
        <f t="shared" si="138"/>
        <v>0.21976802637385651</v>
      </c>
      <c r="BP20" s="53">
        <f t="shared" si="139"/>
        <v>0.21536057413271326</v>
      </c>
      <c r="BQ20" s="54">
        <f t="shared" si="140"/>
        <v>1402.4852891994324</v>
      </c>
      <c r="BR20" s="262">
        <f t="shared" si="141"/>
        <v>3.6526751029231637</v>
      </c>
      <c r="BS20" s="54">
        <f t="shared" si="142"/>
        <v>1574.8478185854065</v>
      </c>
      <c r="BT20"/>
      <c r="BU20" s="2">
        <f t="shared" si="37"/>
        <v>0.77407910320554796</v>
      </c>
      <c r="BV20" s="2">
        <f t="shared" si="38"/>
        <v>1.0297044969387912E-2</v>
      </c>
      <c r="BW20" s="2">
        <f t="shared" si="39"/>
        <v>0.24596983324242425</v>
      </c>
      <c r="BX20" s="2">
        <f t="shared" si="40"/>
        <v>0.14393532607605486</v>
      </c>
      <c r="BY20" s="2">
        <f t="shared" si="41"/>
        <v>2.449545244557792E-3</v>
      </c>
      <c r="BZ20" s="2">
        <f t="shared" si="42"/>
        <v>0.44017532545591992</v>
      </c>
      <c r="CA20" s="2">
        <f t="shared" si="43"/>
        <v>0.17766388638522318</v>
      </c>
      <c r="CB20" s="2">
        <f t="shared" si="44"/>
        <v>4.931897815693146E-2</v>
      </c>
      <c r="CC20" s="2">
        <f t="shared" si="45"/>
        <v>5.5746237285174867E-3</v>
      </c>
      <c r="CD20" s="2">
        <f t="shared" si="46"/>
        <v>0</v>
      </c>
      <c r="CE20" s="2">
        <f t="shared" si="47"/>
        <v>1.1423263411446409E-3</v>
      </c>
      <c r="CF20" s="2">
        <f t="shared" si="48"/>
        <v>1.8506059928057095</v>
      </c>
      <c r="CG20" s="2">
        <f t="shared" si="49"/>
        <v>0.41828412218203415</v>
      </c>
      <c r="CH20" s="2">
        <f t="shared" si="49"/>
        <v>5.564147641052718E-3</v>
      </c>
      <c r="CI20" s="2">
        <f t="shared" si="49"/>
        <v>0.13291312910400155</v>
      </c>
      <c r="CJ20" s="2">
        <f t="shared" si="49"/>
        <v>7.777740190813609E-2</v>
      </c>
      <c r="CK20" s="2">
        <f t="shared" si="49"/>
        <v>1.3236449325682929E-3</v>
      </c>
      <c r="CL20" s="2">
        <f t="shared" si="49"/>
        <v>0.23785469579538579</v>
      </c>
      <c r="CM20" s="2">
        <f t="shared" si="49"/>
        <v>9.6003086057160347E-2</v>
      </c>
      <c r="CN20" s="2">
        <f t="shared" si="49"/>
        <v>2.6650177481679287E-2</v>
      </c>
      <c r="CO20" s="2">
        <f t="shared" si="49"/>
        <v>3.0123233957898205E-3</v>
      </c>
      <c r="CP20" s="2">
        <f t="shared" si="50"/>
        <v>0</v>
      </c>
      <c r="CQ20" s="2">
        <f t="shared" si="51"/>
        <v>6.1727150219196918E-4</v>
      </c>
      <c r="CS20" s="2">
        <f t="shared" ca="1" si="52"/>
        <v>0.68511097567247703</v>
      </c>
      <c r="CT20" s="2">
        <f t="shared" ca="1" si="53"/>
        <v>0.11469375411714496</v>
      </c>
      <c r="CU20" s="2">
        <f t="shared" ca="1" si="54"/>
        <v>1.2555281972278092</v>
      </c>
      <c r="CV20" s="2">
        <f t="shared" ca="1" si="55"/>
        <v>2.0553329270174312</v>
      </c>
      <c r="CW20" s="2">
        <f t="shared" ca="1" si="56"/>
        <v>0.33333333333333331</v>
      </c>
      <c r="CX20" s="2">
        <f t="shared" ca="1" si="57"/>
        <v>5.5803005250142736E-2</v>
      </c>
      <c r="CY20" s="2">
        <f t="shared" ca="1" si="58"/>
        <v>0.61086366141652393</v>
      </c>
      <c r="CZ20" s="2">
        <f t="shared" si="59"/>
        <v>0.41295882869325051</v>
      </c>
      <c r="DA20" s="2">
        <f t="shared" si="60"/>
        <v>0.41828412218203415</v>
      </c>
      <c r="DB20" s="2">
        <f t="shared" si="61"/>
        <v>-0.53821418159118461</v>
      </c>
      <c r="DD20" s="2">
        <f t="shared" si="62"/>
        <v>1575.9343463071887</v>
      </c>
      <c r="DE20" s="2">
        <f t="shared" si="63"/>
        <v>15085.825675935726</v>
      </c>
      <c r="DF20" s="2">
        <f t="shared" si="64"/>
        <v>8.15853841717046</v>
      </c>
      <c r="DG20" s="2">
        <f t="shared" si="65"/>
        <v>1667.3214130307247</v>
      </c>
      <c r="DH20" s="2">
        <f t="shared" si="66"/>
        <v>1394.1714130307246</v>
      </c>
      <c r="DI20" s="2">
        <f t="shared" si="143"/>
        <v>13602.905801982104</v>
      </c>
      <c r="DJ20" s="2">
        <f t="shared" si="67"/>
        <v>8.15853841717046</v>
      </c>
      <c r="DK20" s="2">
        <f t="shared" si="68"/>
        <v>1667.3214130307247</v>
      </c>
      <c r="DL20" s="2">
        <f t="shared" si="69"/>
        <v>3</v>
      </c>
      <c r="DM20" s="2">
        <f t="shared" si="70"/>
        <v>-0.53821418159118461</v>
      </c>
      <c r="DN20" s="2">
        <f t="shared" si="71"/>
        <v>0.41295882869325051</v>
      </c>
      <c r="DO20" s="2">
        <f t="shared" si="72"/>
        <v>0.41828412218203415</v>
      </c>
      <c r="DP20" s="2">
        <f t="shared" si="73"/>
        <v>2.5395193885846519</v>
      </c>
      <c r="DQ20" s="2">
        <f t="shared" si="74"/>
        <v>15085.899999999994</v>
      </c>
      <c r="DR20" s="2">
        <f t="shared" si="75"/>
        <v>8.1583151899983246</v>
      </c>
      <c r="DS20" s="2">
        <f t="shared" si="76"/>
        <v>1575.9940510283955</v>
      </c>
      <c r="DT20" s="2">
        <f t="shared" si="77"/>
        <v>1394.234639254516</v>
      </c>
      <c r="DU20" s="2">
        <f t="shared" si="78"/>
        <v>1538.234639254516</v>
      </c>
      <c r="DV20" s="9">
        <f t="shared" ca="1" si="79"/>
        <v>2.5682219952555347</v>
      </c>
      <c r="DW20" s="2">
        <f t="shared" ca="1" si="80"/>
        <v>3.0204651727432155</v>
      </c>
      <c r="DX20" s="2">
        <f t="shared" si="81"/>
        <v>4595.2700000000004</v>
      </c>
      <c r="DY20" s="2">
        <f t="shared" ca="1" si="144"/>
        <v>1521.3782438108803</v>
      </c>
      <c r="DZ20" s="2">
        <f t="shared" ca="1" si="82"/>
        <v>3.9709724266790651</v>
      </c>
      <c r="EB20" s="2">
        <f t="shared" si="83"/>
        <v>0.77407910320554796</v>
      </c>
      <c r="EC20" s="2">
        <f t="shared" si="84"/>
        <v>1.0297044969387912E-2</v>
      </c>
      <c r="ED20" s="2">
        <f t="shared" si="85"/>
        <v>0.12298491662121212</v>
      </c>
      <c r="EE20" s="2">
        <f t="shared" si="86"/>
        <v>0.14393532607605486</v>
      </c>
      <c r="EF20" s="2">
        <f t="shared" si="87"/>
        <v>2.449545244557792E-3</v>
      </c>
      <c r="EG20" s="2">
        <f t="shared" si="88"/>
        <v>0.44017532545591992</v>
      </c>
      <c r="EH20" s="2">
        <f t="shared" si="89"/>
        <v>0.17766388638522318</v>
      </c>
      <c r="EI20" s="2">
        <f t="shared" si="90"/>
        <v>2.465948907846573E-2</v>
      </c>
      <c r="EJ20" s="2">
        <f t="shared" si="91"/>
        <v>2.7873118642587433E-3</v>
      </c>
      <c r="EK20" s="2">
        <f t="shared" si="92"/>
        <v>0</v>
      </c>
      <c r="EL20" s="2">
        <f t="shared" si="93"/>
        <v>5.7116317057232045E-4</v>
      </c>
      <c r="EM20" s="2">
        <f t="shared" si="94"/>
        <v>1.6996031120712005</v>
      </c>
      <c r="EN20" s="2">
        <f t="shared" si="95"/>
        <v>0.45544697918458499</v>
      </c>
      <c r="EO20" s="2">
        <f t="shared" si="95"/>
        <v>6.0584997145830969E-3</v>
      </c>
      <c r="EP20" s="2">
        <f t="shared" si="95"/>
        <v>7.2360962243319296E-2</v>
      </c>
      <c r="EQ20" s="2">
        <f t="shared" si="95"/>
        <v>8.468761033312644E-2</v>
      </c>
      <c r="ER20" s="2">
        <f t="shared" si="95"/>
        <v>1.4412454455750459E-3</v>
      </c>
      <c r="ES20" s="2">
        <f t="shared" si="95"/>
        <v>0.25898712607057167</v>
      </c>
      <c r="ET20" s="2">
        <f t="shared" si="95"/>
        <v>0.10453257300094917</v>
      </c>
      <c r="EU20" s="2">
        <f t="shared" si="95"/>
        <v>1.4508969125394662E-2</v>
      </c>
      <c r="EV20" s="2">
        <f t="shared" si="95"/>
        <v>1.6399780892740422E-3</v>
      </c>
      <c r="EW20" s="2">
        <f t="shared" si="95"/>
        <v>0</v>
      </c>
      <c r="EX20" s="2">
        <f t="shared" si="95"/>
        <v>3.3605679262158999E-4</v>
      </c>
      <c r="EY20" s="2">
        <f t="shared" si="96"/>
        <v>1</v>
      </c>
      <c r="EZ20" s="2">
        <f t="shared" si="97"/>
        <v>0.13291312910400155</v>
      </c>
      <c r="FA20" s="2">
        <f t="shared" si="98"/>
        <v>0.55676139892708842</v>
      </c>
      <c r="FB20" s="2">
        <f t="shared" si="99"/>
        <v>1.4763994911896408</v>
      </c>
      <c r="FC20" s="2">
        <f t="shared" si="100"/>
        <v>0.72575338667092781</v>
      </c>
      <c r="FD20" s="2">
        <f t="shared" si="101"/>
        <v>1.3035267676054711</v>
      </c>
      <c r="FE20" s="2">
        <f t="shared" ca="1" si="102"/>
        <v>0.12481460885756999</v>
      </c>
      <c r="FF20" s="2">
        <f t="shared" ca="1" si="103"/>
        <v>0.12481460885756999</v>
      </c>
      <c r="FG20" s="2">
        <f t="shared" ca="1" si="104"/>
        <v>0.15142659383266194</v>
      </c>
      <c r="FH20" s="2">
        <f t="shared" ca="1" si="105"/>
        <v>-3.451443853561746</v>
      </c>
      <c r="FI20" s="2">
        <f t="shared" ca="1" si="106"/>
        <v>8.4587098388579987E-3</v>
      </c>
      <c r="FJ20" s="2">
        <f t="shared" ca="1" si="107"/>
        <v>6.7770190655410442E-2</v>
      </c>
      <c r="FK20" s="2">
        <f t="shared" ca="1" si="108"/>
        <v>0.26167397462429726</v>
      </c>
      <c r="FL20" s="2">
        <f t="shared" ca="1" si="109"/>
        <v>9.135099822559728E-2</v>
      </c>
      <c r="FM20" s="2">
        <f t="shared" ca="1" si="145"/>
        <v>0.34910234522464828</v>
      </c>
      <c r="FN20" s="2">
        <f t="shared" ca="1" si="146"/>
        <v>9.135099822559728E-2</v>
      </c>
      <c r="FO20" s="2">
        <f t="shared" ca="1" si="110"/>
        <v>9.1350998225597266E-2</v>
      </c>
      <c r="FP20" s="2">
        <f t="shared" ca="1" si="147"/>
        <v>1.8325909842495718</v>
      </c>
      <c r="FQ20" s="2">
        <f t="shared" ca="1" si="111"/>
        <v>0.16740901575042821</v>
      </c>
      <c r="FR20" s="2">
        <f t="shared" si="148"/>
        <v>0.33333333333333331</v>
      </c>
      <c r="FS20" s="2">
        <f t="shared" ca="1" si="112"/>
        <v>5.5803005250142736E-2</v>
      </c>
      <c r="FT20" s="2">
        <f t="shared" ca="1" si="113"/>
        <v>0.61086366141652393</v>
      </c>
      <c r="FU20" s="2">
        <f t="shared" si="114"/>
        <v>20.026666666666664</v>
      </c>
      <c r="FV20" s="2">
        <f t="shared" ca="1" si="115"/>
        <v>4.0094459272227549</v>
      </c>
      <c r="FW20" s="2">
        <f t="shared" ca="1" si="116"/>
        <v>24.617805555085912</v>
      </c>
      <c r="FX20" s="2">
        <f t="shared" ca="1" si="117"/>
        <v>48.653918148975336</v>
      </c>
      <c r="FY20" s="2">
        <f t="shared" ca="1" si="118"/>
        <v>41.161467418402417</v>
      </c>
      <c r="FZ20" s="2">
        <f t="shared" ca="1" si="118"/>
        <v>8.2407462333168642</v>
      </c>
      <c r="GA20" s="2">
        <f t="shared" ca="1" si="118"/>
        <v>50.597786348280707</v>
      </c>
      <c r="GB20" s="2">
        <f t="shared" ca="1" si="119"/>
        <v>91.629549212478594</v>
      </c>
      <c r="GC20" s="2">
        <f t="shared" si="120"/>
        <v>3000000000</v>
      </c>
      <c r="GD20" s="2">
        <f t="shared" si="149"/>
        <v>38</v>
      </c>
      <c r="GE20">
        <f t="shared" si="150"/>
        <v>1473.0934573999998</v>
      </c>
      <c r="GF20">
        <f t="shared" si="151"/>
        <v>1472.7640000000001</v>
      </c>
      <c r="GG20">
        <f t="shared" si="152"/>
        <v>1824.7890000000002</v>
      </c>
      <c r="GH20" s="2">
        <f t="shared" si="153"/>
        <v>0.18580331803344774</v>
      </c>
      <c r="GI20" s="2">
        <f t="shared" si="154"/>
        <v>1.2889999999999999</v>
      </c>
      <c r="GJ20" s="2">
        <f t="shared" si="155"/>
        <v>-1.7580000000000005</v>
      </c>
      <c r="GK20" s="2">
        <f t="shared" si="156"/>
        <v>1.4749999999999996</v>
      </c>
      <c r="GL20" s="2">
        <f t="shared" si="157"/>
        <v>-0.18580331803344774</v>
      </c>
      <c r="GM20">
        <f t="shared" si="158"/>
        <v>0.39728813559322051</v>
      </c>
      <c r="GN20">
        <f t="shared" si="159"/>
        <v>6.2707110191402335E-2</v>
      </c>
      <c r="GO20">
        <f t="shared" si="160"/>
        <v>-0.17359471416259706</v>
      </c>
      <c r="GP20">
        <f t="shared" si="161"/>
        <v>-6.2984175604558573E-2</v>
      </c>
      <c r="GQ20">
        <f t="shared" si="162"/>
        <v>0.29129943502824862</v>
      </c>
      <c r="GR20">
        <f t="shared" si="163"/>
        <v>0.15783786268313718</v>
      </c>
      <c r="GS20">
        <f t="shared" si="164"/>
        <v>-4.790342836663615E-2</v>
      </c>
      <c r="GT20">
        <f t="shared" si="165"/>
        <v>2.3772163645384482E-3</v>
      </c>
      <c r="GU20">
        <f t="shared" si="166"/>
        <v>0.27345478746863339</v>
      </c>
      <c r="GV20">
        <f t="shared" si="167"/>
        <v>-0.48805717969161594</v>
      </c>
      <c r="GW20">
        <f t="shared" si="168"/>
        <v>0.18268574337023796</v>
      </c>
      <c r="GY20" s="15">
        <f t="shared" si="169"/>
        <v>0.16322538482282106</v>
      </c>
      <c r="GZ20" s="2">
        <f t="shared" si="170"/>
        <v>7.8419461957902392E-2</v>
      </c>
      <c r="HA20" s="2">
        <f t="shared" si="171"/>
        <v>4.6382740260681031E-2</v>
      </c>
      <c r="HB20" s="2">
        <f t="shared" si="172"/>
        <v>0.28802758704140446</v>
      </c>
      <c r="HC20" s="2">
        <f t="shared" si="173"/>
        <v>0.5667005251110101</v>
      </c>
      <c r="HD20" s="2">
        <f t="shared" si="174"/>
        <v>0.2722637187757625</v>
      </c>
      <c r="HE20" s="2">
        <f t="shared" si="175"/>
        <v>0.16103575611322757</v>
      </c>
      <c r="HF20" s="2">
        <f t="shared" si="176"/>
        <v>-1.3770677075791551</v>
      </c>
      <c r="HG20" s="2">
        <f t="shared" si="177"/>
        <v>-1.3623990126418835</v>
      </c>
      <c r="HH20" s="2">
        <f t="shared" si="178"/>
        <v>-1.3697333601105193</v>
      </c>
      <c r="HI20" s="2">
        <f t="shared" si="179"/>
        <v>2.1063560493226969</v>
      </c>
      <c r="HJ20" s="2">
        <f t="shared" si="180"/>
        <v>0.2243161095794331</v>
      </c>
      <c r="HK20" s="2">
        <f t="shared" si="181"/>
        <v>0.34008957997821193</v>
      </c>
      <c r="HL20" s="2">
        <f t="shared" si="182"/>
        <v>0.77549713878524351</v>
      </c>
    </row>
    <row r="21" spans="1:220" ht="20.25">
      <c r="A21" s="100" t="s">
        <v>144</v>
      </c>
      <c r="B21" s="80">
        <v>0</v>
      </c>
      <c r="C21" s="94">
        <f t="shared" si="126"/>
        <v>-5.6322603000651403</v>
      </c>
      <c r="D21" s="59">
        <f t="shared" ref="D21:D39" si="183">5.5976-24505/(U21+273.15)+0.8099*LOG(U21+273.15)+0.0937*(S21*10*1000-1)/(273.15+U21)+$D$4</f>
        <v>-6.0144959925599029</v>
      </c>
      <c r="E21" s="60">
        <f t="shared" ref="E21:E39" si="184">12.985-25026/(U21+273.15)-1.1786*LOG(U21+273.15)+0.0458*(S21*10*1000-1)/(U21+273.15)+$E$4</f>
        <v>-5.6322603000651403</v>
      </c>
      <c r="F21" s="82">
        <v>48</v>
      </c>
      <c r="G21" s="82">
        <v>0.9</v>
      </c>
      <c r="H21" s="82">
        <v>15.2</v>
      </c>
      <c r="I21" s="82">
        <v>8.4</v>
      </c>
      <c r="J21" s="82">
        <v>0.1</v>
      </c>
      <c r="K21" s="82">
        <v>14.6</v>
      </c>
      <c r="L21" s="82">
        <v>10.6</v>
      </c>
      <c r="M21" s="82">
        <v>2.2000000000000002</v>
      </c>
      <c r="N21" s="82">
        <v>0</v>
      </c>
      <c r="O21" s="82"/>
      <c r="P21" s="82"/>
      <c r="Q21" s="82"/>
      <c r="R21" s="3">
        <f t="shared" ref="R21:R39" si="185">SUM(F21:P21)</f>
        <v>99.999999999999986</v>
      </c>
      <c r="S21" s="135">
        <v>1</v>
      </c>
      <c r="T21" s="288">
        <f t="shared" ref="T21:T39" si="186">AM21</f>
        <v>0.33624307999999997</v>
      </c>
      <c r="U21" s="54">
        <f t="shared" ref="U21:U39" si="187">AY21</f>
        <v>1384.2964963400259</v>
      </c>
      <c r="V21" s="54">
        <f t="shared" ref="V21:V39" ca="1" si="188">AZ21</f>
        <v>1373.921118401357</v>
      </c>
      <c r="W21" s="54">
        <f t="shared" si="5"/>
        <v>1384.2964963400259</v>
      </c>
      <c r="X21" s="101">
        <f t="shared" ca="1" si="6"/>
        <v>1508.7172463651464</v>
      </c>
      <c r="Y21" s="101">
        <f t="shared" ca="1" si="7"/>
        <v>1423.452392401357</v>
      </c>
      <c r="Z21" s="50">
        <f t="shared" ca="1" si="8"/>
        <v>1481.3288642904652</v>
      </c>
      <c r="AA21" s="50">
        <f t="shared" ca="1" si="9"/>
        <v>1448.2746803206808</v>
      </c>
      <c r="AB21" s="103">
        <f t="shared" ca="1" si="128"/>
        <v>54.658606001122834</v>
      </c>
      <c r="AC21" s="283">
        <v>13.3</v>
      </c>
      <c r="AD21" s="283">
        <f t="shared" ca="1" si="10"/>
        <v>10.80272766198097</v>
      </c>
      <c r="AE21" s="3">
        <f t="shared" ca="1" si="11"/>
        <v>101.02470200891089</v>
      </c>
      <c r="AF21" s="3">
        <f t="shared" ca="1" si="12"/>
        <v>212.36983429478471</v>
      </c>
      <c r="AG21" s="3">
        <f t="shared" ca="1" si="13"/>
        <v>475.70175088370269</v>
      </c>
      <c r="AH21" s="3">
        <f t="shared" ca="1" si="14"/>
        <v>85.156289581304662</v>
      </c>
      <c r="AI21" s="85">
        <f t="shared" ref="AI21:AI39" si="189">((3*CG21)^-2)*((1-CI21)^(7/2))*((1-CH21)^7)</f>
        <v>0.30811878890182731</v>
      </c>
      <c r="AJ21" s="85">
        <f t="shared" ca="1" si="15"/>
        <v>1.6794081207699201</v>
      </c>
      <c r="AK21" s="85">
        <f t="shared" si="16"/>
        <v>0.26773199986842916</v>
      </c>
      <c r="AL21" s="86">
        <f t="shared" ca="1" si="130"/>
        <v>0.27691718397951331</v>
      </c>
      <c r="AM21" s="85">
        <f t="shared" si="17"/>
        <v>0.33624307999999997</v>
      </c>
      <c r="AN21" s="85">
        <f t="shared" ref="AN21:AN39" ca="1" si="190">FM21</f>
        <v>0.33624308000000003</v>
      </c>
      <c r="AO21" s="123">
        <f t="shared" ref="AO21:AO39" ca="1" si="191">FY21</f>
        <v>41.191253620083046</v>
      </c>
      <c r="AP21" s="123">
        <f t="shared" ref="AP21:AP39" ca="1" si="192">FZ21</f>
        <v>8.0819116857473468</v>
      </c>
      <c r="AQ21" s="123">
        <f t="shared" ref="AQ21:AQ39" ca="1" si="193">GA21</f>
        <v>50.726834694169597</v>
      </c>
      <c r="AR21" s="2"/>
      <c r="AS21" s="53">
        <f t="shared" ca="1" si="132"/>
        <v>79.003473996968694</v>
      </c>
      <c r="AT21" s="53">
        <f t="shared" ref="AT21:AT39" ca="1" si="194">100*CU21/(CU21+CT21)</f>
        <v>91.796819896120851</v>
      </c>
      <c r="AU21" s="63">
        <f t="shared" ca="1" si="22"/>
        <v>0.33624308000000003</v>
      </c>
      <c r="AV21" s="53">
        <f t="shared" ref="AV21:AV39" si="195">(0.666-(-0.049*CK21+0.027*CJ21))/(1*CL21+0.259*CK21+0.299*CJ21)</f>
        <v>3.0893103275909586</v>
      </c>
      <c r="AW21" s="53">
        <f t="shared" ref="AW21:AW39" ca="1" si="196">CY21/CL21</f>
        <v>3.1233239859340891</v>
      </c>
      <c r="AX21" s="54">
        <f t="shared" ref="AX21:AX39" si="197">(DE21/DF21)-273.15</f>
        <v>1390.6318213749287</v>
      </c>
      <c r="AY21" s="54">
        <f t="shared" ref="AY21:AY39" si="198">(DK21-273.15)+54*DL21-2*DL21^2</f>
        <v>1384.2964963400259</v>
      </c>
      <c r="AZ21" s="54">
        <f t="shared" ca="1" si="26"/>
        <v>1373.921118401357</v>
      </c>
      <c r="BA21" s="34"/>
      <c r="BB21" s="63">
        <f t="shared" ca="1" si="27"/>
        <v>0.17901193220985909</v>
      </c>
      <c r="BC21" s="63">
        <f t="shared" ca="1" si="28"/>
        <v>5.4971808899476456E-2</v>
      </c>
      <c r="BD21" s="53">
        <f t="shared" si="29"/>
        <v>9.317999999999993E-2</v>
      </c>
      <c r="BE21" s="53">
        <f t="shared" ca="1" si="30"/>
        <v>0.20290386441971814</v>
      </c>
      <c r="BF21" s="53">
        <f t="shared" ca="1" si="31"/>
        <v>0.21962943491589698</v>
      </c>
      <c r="BH21" s="53">
        <f t="shared" si="32"/>
        <v>0.11247999999999997</v>
      </c>
      <c r="BI21" s="53">
        <f t="shared" si="33"/>
        <v>0.15512000000000004</v>
      </c>
      <c r="BK21" s="53">
        <f t="shared" si="134"/>
        <v>0.22023613696403255</v>
      </c>
      <c r="BL21" s="53">
        <f t="shared" si="135"/>
        <v>0.14081987628279882</v>
      </c>
      <c r="BM21" s="53">
        <f t="shared" si="136"/>
        <v>0.22053300304457596</v>
      </c>
      <c r="BN21" s="53">
        <f t="shared" si="137"/>
        <v>0.21877911970740896</v>
      </c>
      <c r="BO21" s="53">
        <f t="shared" si="138"/>
        <v>0.16551753567410954</v>
      </c>
      <c r="BP21" s="53">
        <f t="shared" si="139"/>
        <v>0.21970276554138901</v>
      </c>
      <c r="BQ21" s="54">
        <f t="shared" si="140"/>
        <v>1342.1343999999999</v>
      </c>
      <c r="BR21" s="262">
        <f t="shared" si="141"/>
        <v>2.5240602243418402</v>
      </c>
      <c r="BS21" s="54">
        <f t="shared" si="142"/>
        <v>1468.0043922916941</v>
      </c>
      <c r="BU21" s="2">
        <f t="shared" si="37"/>
        <v>0.79893475366178435</v>
      </c>
      <c r="BV21" s="2">
        <f t="shared" si="38"/>
        <v>1.1264080100125156E-2</v>
      </c>
      <c r="BW21" s="2">
        <f t="shared" si="39"/>
        <v>0.29815613966261278</v>
      </c>
      <c r="BX21" s="2">
        <f t="shared" si="40"/>
        <v>0.11691022964509395</v>
      </c>
      <c r="BY21" s="2">
        <f t="shared" si="41"/>
        <v>1.4096419509444602E-3</v>
      </c>
      <c r="BZ21" s="2">
        <f t="shared" si="42"/>
        <v>0.3622828784119107</v>
      </c>
      <c r="CA21" s="2">
        <f t="shared" si="43"/>
        <v>0.18901569186875891</v>
      </c>
      <c r="CB21" s="2">
        <f t="shared" si="44"/>
        <v>7.0990642142626667E-2</v>
      </c>
      <c r="CC21" s="2">
        <f t="shared" si="45"/>
        <v>0</v>
      </c>
      <c r="CD21" s="2">
        <f t="shared" si="46"/>
        <v>0</v>
      </c>
      <c r="CE21" s="2">
        <f t="shared" si="47"/>
        <v>0</v>
      </c>
      <c r="CF21" s="2">
        <f t="shared" ref="CF21:CF39" si="199">SUM(BU21:CE21)</f>
        <v>1.8489640574438568</v>
      </c>
      <c r="CG21" s="2">
        <f t="shared" ref="CG21:CG39" si="200">BU21/$CF21</f>
        <v>0.43209858539180596</v>
      </c>
      <c r="CH21" s="2">
        <f t="shared" ref="CH21:CH39" si="201">BV21/$CF21</f>
        <v>6.0921033347167627E-3</v>
      </c>
      <c r="CI21" s="2">
        <f t="shared" ref="CI21:CI39" si="202">BW21/$CF21</f>
        <v>0.16125577912791103</v>
      </c>
      <c r="CJ21" s="2">
        <f t="shared" ref="CJ21:CJ39" si="203">BX21/$CF21</f>
        <v>6.3230125634091125E-2</v>
      </c>
      <c r="CK21" s="2">
        <f t="shared" ref="CK21:CK39" si="204">BY21/$CF21</f>
        <v>7.6239553996157851E-4</v>
      </c>
      <c r="CL21" s="2">
        <f t="shared" ref="CL21:CL39" si="205">BZ21/$CF21</f>
        <v>0.19593830229061188</v>
      </c>
      <c r="CM21" s="2">
        <f t="shared" ref="CM21:CM39" si="206">CA21/$CF21</f>
        <v>0.10222788869680248</v>
      </c>
      <c r="CN21" s="2">
        <f t="shared" ref="CN21:CN39" si="207">CB21/$CF21</f>
        <v>3.8394819984099271E-2</v>
      </c>
      <c r="CO21" s="2">
        <f t="shared" ref="CO21:CO39" si="208">CC21/$CF21</f>
        <v>0</v>
      </c>
      <c r="CP21" s="2">
        <f t="shared" ref="CP21:CP39" si="209">CD21/CF21</f>
        <v>0</v>
      </c>
      <c r="CQ21" s="2">
        <f t="shared" ref="CQ21:CQ39" si="210">CE21/CF21</f>
        <v>0</v>
      </c>
      <c r="CR21" s="2"/>
      <c r="CS21" s="2">
        <f t="shared" ca="1" si="52"/>
        <v>0.68560675133294025</v>
      </c>
      <c r="CT21" s="2">
        <f t="shared" ca="1" si="53"/>
        <v>0.11248311323239175</v>
      </c>
      <c r="CU21" s="2">
        <f t="shared" ca="1" si="54"/>
        <v>1.2587303894334889</v>
      </c>
      <c r="CV21" s="2">
        <f t="shared" ref="CV21:CV39" ca="1" si="211">SUM(CS21:CU21)</f>
        <v>2.0568202539988212</v>
      </c>
      <c r="CW21" s="2">
        <f t="shared" ref="CW21:CW39" ca="1" si="212">CS21/$CV21</f>
        <v>0.33333333333333326</v>
      </c>
      <c r="CX21" s="2">
        <f t="shared" ref="CX21:CX39" ca="1" si="213">CT21/$CV21</f>
        <v>5.4687867359194245E-2</v>
      </c>
      <c r="CY21" s="2">
        <f t="shared" ref="CY21:CY39" ca="1" si="214">CU21/$CV21</f>
        <v>0.61197879930747234</v>
      </c>
      <c r="CZ21" s="2">
        <f t="shared" ref="CZ21:CZ39" si="215">CL21+CJ21+CM21+CK21</f>
        <v>0.36215871216146711</v>
      </c>
      <c r="DA21" s="2">
        <f t="shared" ref="DA21:DA39" si="216">CG21</f>
        <v>0.43209858539180596</v>
      </c>
      <c r="DB21" s="2">
        <f t="shared" ref="DB21:DB39" si="217">(7/2)*LN(1-CI21)+7*LN(1-CH21)</f>
        <v>-0.65824833446997622</v>
      </c>
      <c r="DC21" s="2"/>
      <c r="DD21" s="2">
        <f t="shared" ref="DD21:DD39" si="218">(DE21/DF21)-273.15</f>
        <v>1390.6318213749287</v>
      </c>
      <c r="DE21" s="2">
        <f t="shared" ref="DE21:DE39" si="219">113.1*1000/8.3144+(DL21*10^9-10^5)*4.11*(10^-6)/8.3144</f>
        <v>14097.179471759839</v>
      </c>
      <c r="DF21" s="2">
        <f t="shared" si="64"/>
        <v>8.4729736138781124</v>
      </c>
      <c r="DG21" s="2">
        <f t="shared" ref="DG21:DG39" si="220">DI21/DJ21</f>
        <v>1605.446496340026</v>
      </c>
      <c r="DH21" s="2">
        <f t="shared" ref="DH21:DH39" si="221">DG21-273.15</f>
        <v>1332.2964963400259</v>
      </c>
      <c r="DI21" s="2">
        <f t="shared" si="143"/>
        <v>13602.905801982104</v>
      </c>
      <c r="DJ21" s="2">
        <f t="shared" si="67"/>
        <v>8.4729736138781124</v>
      </c>
      <c r="DK21" s="2">
        <f t="shared" ref="DK21:DK39" si="222">DI21/DJ21</f>
        <v>1605.446496340026</v>
      </c>
      <c r="DL21" s="2">
        <f t="shared" si="69"/>
        <v>1</v>
      </c>
      <c r="DM21" s="2">
        <f t="shared" ref="DM21:DM39" si="223">(7/2)*LN(1-CI21)+7*LN(1-CH21)</f>
        <v>-0.65824833446997622</v>
      </c>
      <c r="DN21" s="2">
        <f t="shared" ref="DN21:DN39" si="224">CL21+CJ21+CK21+CM21</f>
        <v>0.36215871216146711</v>
      </c>
      <c r="DO21" s="2">
        <f t="shared" ref="DO21:DO39" si="225">CG21</f>
        <v>0.43209858539180596</v>
      </c>
      <c r="DP21" s="2">
        <f t="shared" ref="DP21:DP39" si="226">(0.666-(-0.049*CK21+0.027*CJ21))/(CL21+0.259*CK21+0.299*CJ21)</f>
        <v>3.0893103275909586</v>
      </c>
      <c r="DQ21" s="2">
        <f t="shared" si="74"/>
        <v>14097.299999999996</v>
      </c>
      <c r="DR21" s="2">
        <f t="shared" ref="DR21:DR39" si="227">6.26+2*LN(DP21)+2*LN(1.5*DN21)+2*LN(3*DO21)-DM21</f>
        <v>8.472750386705977</v>
      </c>
      <c r="DS21" s="2">
        <f t="shared" ref="DS21:DS39" si="228">(DQ21/DR21)-273.15</f>
        <v>1390.6898815712925</v>
      </c>
      <c r="DT21" s="2">
        <f t="shared" ref="DT21:DT39" si="229">(13603+4.943*10^-7*(0.0001*10^9-10^-5))/(6.26+2*LN(DP21)+2*LN(1.5*DN21)+2*LN(3*DO21)-DM21)-273.15</f>
        <v>1332.3557459669323</v>
      </c>
      <c r="DU21" s="2">
        <f t="shared" ref="DU21:DU39" si="230">DT21+54*DL21-2*DL21^2</f>
        <v>1384.3557459669323</v>
      </c>
      <c r="DV21" s="9">
        <f t="shared" ref="DV21:DV39" ca="1" si="231">CY21/CL21</f>
        <v>3.1233239859340891</v>
      </c>
      <c r="DW21" s="2">
        <f t="shared" ca="1" si="80"/>
        <v>3.1843678148138439</v>
      </c>
      <c r="DX21" s="2">
        <f t="shared" ref="DX21:DX39" si="232">55.09*DL21+4430</f>
        <v>4485.09</v>
      </c>
      <c r="DY21" s="2">
        <f t="shared" ref="DY21:DY39" ca="1" si="233">DX21/DW21</f>
        <v>1408.4710877729417</v>
      </c>
      <c r="DZ21" s="2">
        <f t="shared" ref="DZ21:DZ39" ca="1" si="234">CY21/(CL21*CG21^0.5)</f>
        <v>4.7514439899736276</v>
      </c>
      <c r="EA21" s="2"/>
      <c r="EB21" s="2">
        <f t="shared" si="83"/>
        <v>0.79893475366178435</v>
      </c>
      <c r="EC21" s="2">
        <f t="shared" si="84"/>
        <v>1.1264080100125156E-2</v>
      </c>
      <c r="ED21" s="2">
        <f t="shared" si="85"/>
        <v>0.14907806983130639</v>
      </c>
      <c r="EE21" s="2">
        <f t="shared" si="86"/>
        <v>0.11691022964509395</v>
      </c>
      <c r="EF21" s="2">
        <f t="shared" si="87"/>
        <v>1.4096419509444602E-3</v>
      </c>
      <c r="EG21" s="2">
        <f t="shared" si="88"/>
        <v>0.3622828784119107</v>
      </c>
      <c r="EH21" s="2">
        <f t="shared" si="89"/>
        <v>0.18901569186875891</v>
      </c>
      <c r="EI21" s="2">
        <f t="shared" si="90"/>
        <v>3.5495321071313334E-2</v>
      </c>
      <c r="EJ21" s="2">
        <f t="shared" si="91"/>
        <v>0</v>
      </c>
      <c r="EK21" s="2">
        <f t="shared" si="92"/>
        <v>0</v>
      </c>
      <c r="EL21" s="2">
        <f t="shared" si="93"/>
        <v>0</v>
      </c>
      <c r="EM21" s="2">
        <f t="shared" ref="EM21:EM39" si="235">SUM(EB21:EL21)</f>
        <v>1.6643906665412371</v>
      </c>
      <c r="EN21" s="2">
        <f t="shared" ref="EN21:EN39" si="236">EB21/$EM21</f>
        <v>0.48001636257793195</v>
      </c>
      <c r="EO21" s="2">
        <f t="shared" ref="EO21:EO39" si="237">EC21/$EM21</f>
        <v>6.7676900180730949E-3</v>
      </c>
      <c r="EP21" s="2">
        <f t="shared" ref="EP21:EP39" si="238">ED21/$EM21</f>
        <v>8.9569157547070885E-2</v>
      </c>
      <c r="EQ21" s="2">
        <f t="shared" ref="EQ21:EQ39" si="239">EE21/$EM21</f>
        <v>7.0242060349956531E-2</v>
      </c>
      <c r="ER21" s="2">
        <f t="shared" ref="ER21:ER39" si="240">EF21/$EM21</f>
        <v>8.4694175429007358E-4</v>
      </c>
      <c r="ES21" s="2">
        <f t="shared" ref="ES21:ES39" si="241">EG21/$EM21</f>
        <v>0.21766697308196828</v>
      </c>
      <c r="ET21" s="2">
        <f t="shared" ref="ET21:ET39" si="242">EH21/$EM21</f>
        <v>0.11356449880937604</v>
      </c>
      <c r="EU21" s="2">
        <f t="shared" ref="EU21:EU39" si="243">EI21/$EM21</f>
        <v>2.1326315861333208E-2</v>
      </c>
      <c r="EV21" s="2">
        <f t="shared" ref="EV21:EV39" si="244">EJ21/$EM21</f>
        <v>0</v>
      </c>
      <c r="EW21" s="2">
        <f t="shared" ref="EW21:EW39" si="245">EK21/$EM21</f>
        <v>0</v>
      </c>
      <c r="EX21" s="2">
        <f t="shared" ref="EX21:EX39" si="246">EL21/$EM21</f>
        <v>0</v>
      </c>
      <c r="EY21" s="2">
        <f t="shared" ref="EY21:EY39" si="247">SUM(EN21:EX21)</f>
        <v>1</v>
      </c>
      <c r="EZ21" s="2">
        <f t="shared" si="97"/>
        <v>0.16125577912791103</v>
      </c>
      <c r="FA21" s="2">
        <f t="shared" si="98"/>
        <v>0.59944646785443378</v>
      </c>
      <c r="FB21" s="2">
        <f t="shared" si="99"/>
        <v>1.4996211682984284</v>
      </c>
      <c r="FC21" s="2">
        <f t="shared" ref="FC21:FC39" si="248">(2*FB21-4*FA21)</f>
        <v>0.60145646517912166</v>
      </c>
      <c r="FD21" s="2">
        <f t="shared" ref="FD21:FD39" si="249">FC21/FA21</f>
        <v>1.0033530889453435</v>
      </c>
      <c r="FE21" s="2">
        <f t="shared" ca="1" si="102"/>
        <v>0.10711848063729358</v>
      </c>
      <c r="FF21" s="2">
        <f t="shared" ca="1" si="103"/>
        <v>0.10711848063729358</v>
      </c>
      <c r="FG21" s="2">
        <f t="shared" ca="1" si="104"/>
        <v>0.11383368727265468</v>
      </c>
      <c r="FH21" s="2">
        <f t="shared" ca="1" si="105"/>
        <v>-5.1587218100274903</v>
      </c>
      <c r="FI21" s="2">
        <f t="shared" ca="1" si="106"/>
        <v>6.1966675545951375E-3</v>
      </c>
      <c r="FJ21" s="2">
        <f t="shared" ca="1" si="107"/>
        <v>5.7848725240766258E-2</v>
      </c>
      <c r="FK21" s="2">
        <f t="shared" ca="1" si="108"/>
        <v>0.26576712315001405</v>
      </c>
      <c r="FL21" s="2">
        <f t="shared" ca="1" si="109"/>
        <v>8.9362356050700031E-2</v>
      </c>
      <c r="FM21" s="2">
        <f t="shared" ref="FM21:FM39" ca="1" si="250">FL21/FK21</f>
        <v>0.33624308000000003</v>
      </c>
      <c r="FN21" s="2">
        <f t="shared" ref="FN21:FN39" ca="1" si="251">FQ21/FP21</f>
        <v>8.9362356050700031E-2</v>
      </c>
      <c r="FO21" s="2">
        <f t="shared" ca="1" si="110"/>
        <v>8.9362356050700018E-2</v>
      </c>
      <c r="FP21" s="2">
        <f t="shared" ref="FP21:FP39" ca="1" si="252">2/(1+FO21)</f>
        <v>1.8359363979224173</v>
      </c>
      <c r="FQ21" s="2">
        <f t="shared" ref="FQ21:FQ39" ca="1" si="253">2-FP21</f>
        <v>0.16406360207758275</v>
      </c>
      <c r="FR21" s="2">
        <f t="shared" si="148"/>
        <v>0.33333333333333331</v>
      </c>
      <c r="FS21" s="2">
        <f t="shared" ref="FS21:FS39" ca="1" si="254">FQ21/3</f>
        <v>5.4687867359194252E-2</v>
      </c>
      <c r="FT21" s="2">
        <f t="shared" ref="FT21:FT39" ca="1" si="255">FP21/3</f>
        <v>0.61197879930747245</v>
      </c>
      <c r="FU21" s="2">
        <f t="shared" ref="FU21:FU39" si="256">60.08*FR21</f>
        <v>20.026666666666664</v>
      </c>
      <c r="FV21" s="2">
        <f t="shared" ref="FV21:FV39" ca="1" si="257">71.85*FS21</f>
        <v>3.9293232697581066</v>
      </c>
      <c r="FW21" s="2">
        <f t="shared" ref="FW21:FW39" ca="1" si="258">40.3*FT21</f>
        <v>24.66274561209114</v>
      </c>
      <c r="FX21" s="2">
        <f t="shared" ref="FX21:FX39" ca="1" si="259">SUM(FU21:FW21)</f>
        <v>48.618735548515915</v>
      </c>
      <c r="FY21" s="2">
        <f t="shared" ref="FY21:FY39" ca="1" si="260">100*FU21/$FX21</f>
        <v>41.191253620083046</v>
      </c>
      <c r="FZ21" s="2">
        <f t="shared" ref="FZ21:FZ39" ca="1" si="261">100*FV21/$FX21</f>
        <v>8.0819116857473468</v>
      </c>
      <c r="GA21" s="2">
        <f t="shared" ref="GA21:GA39" ca="1" si="262">100*FW21/$FX21</f>
        <v>50.726834694169597</v>
      </c>
      <c r="GB21" s="2">
        <f t="shared" ref="GB21:GB39" ca="1" si="263">100*GA21/40.3/(GA21/40.3+FZ21/71.85)</f>
        <v>91.796819896120851</v>
      </c>
      <c r="GC21" s="2">
        <f t="shared" si="120"/>
        <v>1000000000</v>
      </c>
      <c r="GD21" s="2">
        <f t="shared" si="149"/>
        <v>38</v>
      </c>
      <c r="GE21">
        <f t="shared" si="150"/>
        <v>1248.4191566</v>
      </c>
      <c r="GF21">
        <f t="shared" si="151"/>
        <v>1247.796</v>
      </c>
      <c r="GG21">
        <f t="shared" si="152"/>
        <v>1706.3210000000001</v>
      </c>
      <c r="GH21" s="2">
        <f t="shared" si="153"/>
        <v>0.29769477419993634</v>
      </c>
      <c r="GI21" s="2">
        <f t="shared" si="154"/>
        <v>1.8929999999999998</v>
      </c>
      <c r="GJ21" s="2">
        <f t="shared" si="155"/>
        <v>-2.9020000000000001</v>
      </c>
      <c r="GK21" s="2">
        <f t="shared" si="156"/>
        <v>2.0169999999999999</v>
      </c>
      <c r="GL21" s="2">
        <f t="shared" si="157"/>
        <v>-0.29769477419993634</v>
      </c>
      <c r="GM21">
        <f t="shared" si="158"/>
        <v>0.47959015038836555</v>
      </c>
      <c r="GN21">
        <f t="shared" si="159"/>
        <v>0.11030895376604709</v>
      </c>
      <c r="GO21">
        <f t="shared" si="160"/>
        <v>-0.22505308742815469</v>
      </c>
      <c r="GP21">
        <f t="shared" si="161"/>
        <v>-7.3796423946439357E-2</v>
      </c>
      <c r="GQ21">
        <f t="shared" si="162"/>
        <v>0.31284085275161128</v>
      </c>
      <c r="GR21">
        <f t="shared" si="163"/>
        <v>0.2300067123495351</v>
      </c>
      <c r="GS21">
        <f t="shared" si="164"/>
        <v>-4.0947709715668246E-2</v>
      </c>
      <c r="GT21">
        <f t="shared" si="165"/>
        <v>5.6836602496915896E-4</v>
      </c>
      <c r="GU21">
        <f t="shared" si="166"/>
        <v>0.185997297709184</v>
      </c>
      <c r="GV21">
        <f t="shared" si="167"/>
        <v>-0.445351311133517</v>
      </c>
      <c r="GW21">
        <f t="shared" si="168"/>
        <v>0.22023613696403255</v>
      </c>
      <c r="GX21" s="2"/>
      <c r="GY21" s="15">
        <f t="shared" si="169"/>
        <v>0.13186869405839788</v>
      </c>
      <c r="GZ21" s="2">
        <f t="shared" si="170"/>
        <v>9.6336847565143977E-2</v>
      </c>
      <c r="HA21" s="2">
        <f t="shared" si="171"/>
        <v>5.652810041322541E-2</v>
      </c>
      <c r="HB21" s="2">
        <f t="shared" si="172"/>
        <v>0.28473364203676726</v>
      </c>
      <c r="HC21" s="2">
        <f t="shared" si="173"/>
        <v>0.46313000850587882</v>
      </c>
      <c r="HD21" s="2">
        <f t="shared" si="174"/>
        <v>0.33834023572354732</v>
      </c>
      <c r="HE21" s="2">
        <f t="shared" si="175"/>
        <v>0.19852975577057386</v>
      </c>
      <c r="HF21" s="2">
        <f t="shared" si="176"/>
        <v>-1.3407898888462251</v>
      </c>
      <c r="HG21" s="2">
        <f t="shared" si="177"/>
        <v>-1.3354032650504271</v>
      </c>
      <c r="HH21" s="2">
        <f t="shared" si="178"/>
        <v>-1.3380965769483262</v>
      </c>
      <c r="HI21" s="2">
        <f t="shared" si="179"/>
        <v>2.3563028538616502</v>
      </c>
      <c r="HJ21" s="2">
        <f t="shared" si="180"/>
        <v>0.19096682016535577</v>
      </c>
      <c r="HK21" s="2">
        <f t="shared" si="181"/>
        <v>0.33209161193469694</v>
      </c>
      <c r="HL21" s="2">
        <f t="shared" si="182"/>
        <v>0.9547619047619047</v>
      </c>
    </row>
    <row r="22" spans="1:220" ht="20.25">
      <c r="A22" s="100" t="s">
        <v>145</v>
      </c>
      <c r="B22" s="80">
        <v>0</v>
      </c>
      <c r="C22" s="94">
        <f t="shared" si="126"/>
        <v>-5.9579572655596058</v>
      </c>
      <c r="D22" s="59">
        <f t="shared" si="183"/>
        <v>-6.3458941736041048</v>
      </c>
      <c r="E22" s="60">
        <f t="shared" si="184"/>
        <v>-5.9579572655596058</v>
      </c>
      <c r="F22" s="82">
        <v>48.4</v>
      </c>
      <c r="G22" s="82">
        <v>0.8</v>
      </c>
      <c r="H22" s="82">
        <v>16.3</v>
      </c>
      <c r="I22" s="82">
        <v>7.9</v>
      </c>
      <c r="J22" s="82">
        <v>0.1</v>
      </c>
      <c r="K22" s="82">
        <v>12.9</v>
      </c>
      <c r="L22" s="82">
        <v>11.3</v>
      </c>
      <c r="M22" s="82">
        <v>2.2000000000000002</v>
      </c>
      <c r="N22" s="82">
        <v>0</v>
      </c>
      <c r="O22" s="82"/>
      <c r="P22" s="82"/>
      <c r="Q22" s="82"/>
      <c r="R22" s="3">
        <f t="shared" si="185"/>
        <v>99.9</v>
      </c>
      <c r="S22" s="135">
        <v>1</v>
      </c>
      <c r="T22" s="288">
        <f t="shared" si="186"/>
        <v>0.33724307999999997</v>
      </c>
      <c r="U22" s="54">
        <f t="shared" si="187"/>
        <v>1347.4292322534934</v>
      </c>
      <c r="V22" s="54">
        <f t="shared" ca="1" si="188"/>
        <v>1338.8356491165782</v>
      </c>
      <c r="W22" s="54">
        <f t="shared" si="5"/>
        <v>1347.4292322534934</v>
      </c>
      <c r="X22" s="101">
        <f t="shared" ca="1" si="6"/>
        <v>1432.2163791062651</v>
      </c>
      <c r="Y22" s="101">
        <f t="shared" ca="1" si="7"/>
        <v>1369.3044621165782</v>
      </c>
      <c r="Z22" s="50">
        <f t="shared" ca="1" si="8"/>
        <v>1407.4178126496311</v>
      </c>
      <c r="AA22" s="50">
        <f t="shared" ca="1" si="9"/>
        <v>1384.1708842621958</v>
      </c>
      <c r="AB22" s="103">
        <f t="shared" ca="1" si="128"/>
        <v>39.302297988752009</v>
      </c>
      <c r="AC22" s="283">
        <v>13.3</v>
      </c>
      <c r="AD22" s="283">
        <f t="shared" ca="1" si="10"/>
        <v>10.541499303187249</v>
      </c>
      <c r="AE22" s="3">
        <f t="shared" ca="1" si="11"/>
        <v>97.585256415011969</v>
      </c>
      <c r="AF22" s="3">
        <f t="shared" ca="1" si="12"/>
        <v>212.07493380177209</v>
      </c>
      <c r="AG22" s="3">
        <f t="shared" ca="1" si="13"/>
        <v>460.14516975507149</v>
      </c>
      <c r="AH22" s="3">
        <f t="shared" ca="1" si="14"/>
        <v>55.876734448804889</v>
      </c>
      <c r="AI22" s="85">
        <f t="shared" si="189"/>
        <v>0.28573551861900354</v>
      </c>
      <c r="AJ22" s="85">
        <f t="shared" ca="1" si="15"/>
        <v>1.4604176528036266</v>
      </c>
      <c r="AK22" s="85">
        <f t="shared" si="16"/>
        <v>0.27317510172534376</v>
      </c>
      <c r="AL22" s="86">
        <f t="shared" ca="1" si="130"/>
        <v>0.27712994948505548</v>
      </c>
      <c r="AM22" s="85">
        <f t="shared" si="17"/>
        <v>0.33724307999999997</v>
      </c>
      <c r="AN22" s="85">
        <f t="shared" ca="1" si="190"/>
        <v>0.33724307999999986</v>
      </c>
      <c r="AO22" s="123">
        <f t="shared" ca="1" si="191"/>
        <v>41.104367551281818</v>
      </c>
      <c r="AP22" s="123">
        <f t="shared" ca="1" si="192"/>
        <v>8.5452305599061855</v>
      </c>
      <c r="AQ22" s="123">
        <f t="shared" ca="1" si="193"/>
        <v>50.350401888811987</v>
      </c>
      <c r="AR22" s="2"/>
      <c r="AS22" s="53">
        <f t="shared" ca="1" si="132"/>
        <v>77.987037516415668</v>
      </c>
      <c r="AT22" s="53">
        <f t="shared" ca="1" si="194"/>
        <v>91.308215092115091</v>
      </c>
      <c r="AU22" s="63">
        <f t="shared" ca="1" si="22"/>
        <v>0.33724307999999986</v>
      </c>
      <c r="AV22" s="53">
        <f t="shared" si="195"/>
        <v>3.4586128006167489</v>
      </c>
      <c r="AW22" s="53">
        <f t="shared" ca="1" si="196"/>
        <v>3.4977069933304064</v>
      </c>
      <c r="AX22" s="54">
        <f t="shared" si="197"/>
        <v>1352.4249524877764</v>
      </c>
      <c r="AY22" s="54">
        <f t="shared" si="198"/>
        <v>1347.4292322534934</v>
      </c>
      <c r="AZ22" s="54">
        <f t="shared" ca="1" si="26"/>
        <v>1338.8356491165782</v>
      </c>
      <c r="BA22" s="34"/>
      <c r="BB22" s="63">
        <f t="shared" ca="1" si="27"/>
        <v>0.1214328392897121</v>
      </c>
      <c r="BC22" s="63">
        <f t="shared" ca="1" si="28"/>
        <v>4.0570414093907936E-2</v>
      </c>
      <c r="BD22" s="53">
        <f t="shared" si="29"/>
        <v>6.4909999999999968E-2</v>
      </c>
      <c r="BE22" s="53">
        <f t="shared" ca="1" si="30"/>
        <v>0.1345696785794242</v>
      </c>
      <c r="BF22" s="53">
        <f t="shared" ca="1" si="31"/>
        <v>0.15820959512040156</v>
      </c>
      <c r="BH22" s="53">
        <f t="shared" si="32"/>
        <v>6.9209999999999994E-2</v>
      </c>
      <c r="BI22" s="53">
        <f t="shared" si="33"/>
        <v>0.10829599999999999</v>
      </c>
      <c r="BK22" s="53">
        <f t="shared" si="134"/>
        <v>0.14303084438192432</v>
      </c>
      <c r="BL22" s="53">
        <f t="shared" si="135"/>
        <v>7.3834145579196667E-2</v>
      </c>
      <c r="BM22" s="53">
        <f t="shared" si="136"/>
        <v>9.6252654447187197E-2</v>
      </c>
      <c r="BN22" s="53">
        <f t="shared" si="137"/>
        <v>0.17732417417036331</v>
      </c>
      <c r="BO22" s="53">
        <f t="shared" si="138"/>
        <v>0.13814612512949515</v>
      </c>
      <c r="BP22" s="53">
        <f t="shared" si="139"/>
        <v>0.22910904570798873</v>
      </c>
      <c r="BQ22" s="54">
        <f t="shared" si="140"/>
        <v>1308.1343999999999</v>
      </c>
      <c r="BR22" s="262">
        <f t="shared" si="141"/>
        <v>2.0859863190352521</v>
      </c>
      <c r="BS22" s="54">
        <f t="shared" si="142"/>
        <v>1414.2029128940335</v>
      </c>
      <c r="BU22" s="2">
        <f t="shared" si="37"/>
        <v>0.80559254327563246</v>
      </c>
      <c r="BV22" s="2">
        <f t="shared" si="38"/>
        <v>1.0012515644555695E-2</v>
      </c>
      <c r="BW22" s="2">
        <f t="shared" si="39"/>
        <v>0.31973322871714399</v>
      </c>
      <c r="BX22" s="2">
        <f t="shared" si="40"/>
        <v>0.10995128740431456</v>
      </c>
      <c r="BY22" s="2">
        <f t="shared" si="41"/>
        <v>1.4096419509444602E-3</v>
      </c>
      <c r="BZ22" s="2">
        <f t="shared" si="42"/>
        <v>0.32009925558312657</v>
      </c>
      <c r="CA22" s="2">
        <f t="shared" si="43"/>
        <v>0.20149786019971472</v>
      </c>
      <c r="CB22" s="2">
        <f t="shared" si="44"/>
        <v>7.0990642142626667E-2</v>
      </c>
      <c r="CC22" s="2">
        <f t="shared" si="45"/>
        <v>0</v>
      </c>
      <c r="CD22" s="2">
        <f t="shared" si="46"/>
        <v>0</v>
      </c>
      <c r="CE22" s="2">
        <f t="shared" si="47"/>
        <v>0</v>
      </c>
      <c r="CF22" s="2">
        <f t="shared" si="199"/>
        <v>1.8392869749180591</v>
      </c>
      <c r="CG22" s="2">
        <f t="shared" si="200"/>
        <v>0.43799176216725066</v>
      </c>
      <c r="CH22" s="2">
        <f t="shared" si="201"/>
        <v>5.4436940950999537E-3</v>
      </c>
      <c r="CI22" s="2">
        <f t="shared" si="202"/>
        <v>0.17383542268132912</v>
      </c>
      <c r="CJ22" s="2">
        <f t="shared" si="203"/>
        <v>5.9779299752401566E-2</v>
      </c>
      <c r="CK22" s="2">
        <f t="shared" si="204"/>
        <v>7.6640674901058345E-4</v>
      </c>
      <c r="CL22" s="2">
        <f t="shared" si="205"/>
        <v>0.17403442744294273</v>
      </c>
      <c r="CM22" s="2">
        <f t="shared" si="206"/>
        <v>0.10955215958547823</v>
      </c>
      <c r="CN22" s="2">
        <f t="shared" si="207"/>
        <v>3.8596827526487174E-2</v>
      </c>
      <c r="CO22" s="2">
        <f t="shared" si="208"/>
        <v>0</v>
      </c>
      <c r="CP22" s="2">
        <f t="shared" si="209"/>
        <v>0</v>
      </c>
      <c r="CQ22" s="2">
        <f t="shared" si="210"/>
        <v>0</v>
      </c>
      <c r="CR22" s="2"/>
      <c r="CS22" s="2">
        <f t="shared" ca="1" si="52"/>
        <v>0.68416057841680789</v>
      </c>
      <c r="CT22" s="2">
        <f t="shared" ca="1" si="53"/>
        <v>0.11893153180106035</v>
      </c>
      <c r="CU22" s="2">
        <f t="shared" ca="1" si="54"/>
        <v>1.2493896250325556</v>
      </c>
      <c r="CV22" s="2">
        <f t="shared" ca="1" si="211"/>
        <v>2.0524817352504239</v>
      </c>
      <c r="CW22" s="2">
        <f t="shared" ca="1" si="212"/>
        <v>0.33333333333333331</v>
      </c>
      <c r="CX22" s="2">
        <f t="shared" ca="1" si="213"/>
        <v>5.7945232719232694E-2</v>
      </c>
      <c r="CY22" s="2">
        <f t="shared" ca="1" si="214"/>
        <v>0.60872143394743394</v>
      </c>
      <c r="CZ22" s="2">
        <f t="shared" si="215"/>
        <v>0.3441322935298331</v>
      </c>
      <c r="DA22" s="2">
        <f t="shared" si="216"/>
        <v>0.43799176216725066</v>
      </c>
      <c r="DB22" s="2">
        <f t="shared" si="217"/>
        <v>-0.70657443199364689</v>
      </c>
      <c r="DC22" s="2"/>
      <c r="DD22" s="2">
        <f t="shared" si="218"/>
        <v>1352.4249524877764</v>
      </c>
      <c r="DE22" s="2">
        <f t="shared" si="219"/>
        <v>14097.179471759839</v>
      </c>
      <c r="DF22" s="2">
        <f t="shared" si="64"/>
        <v>8.6721190248321349</v>
      </c>
      <c r="DG22" s="2">
        <f t="shared" si="220"/>
        <v>1568.5792322534935</v>
      </c>
      <c r="DH22" s="2">
        <f t="shared" si="221"/>
        <v>1295.4292322534934</v>
      </c>
      <c r="DI22" s="2">
        <f t="shared" si="143"/>
        <v>13602.905801982104</v>
      </c>
      <c r="DJ22" s="2">
        <f t="shared" si="67"/>
        <v>8.6721190248321349</v>
      </c>
      <c r="DK22" s="2">
        <f t="shared" si="222"/>
        <v>1568.5792322534935</v>
      </c>
      <c r="DL22" s="2">
        <f t="shared" si="69"/>
        <v>1</v>
      </c>
      <c r="DM22" s="2">
        <f t="shared" si="223"/>
        <v>-0.70657443199364689</v>
      </c>
      <c r="DN22" s="2">
        <f t="shared" si="224"/>
        <v>0.3441322935298331</v>
      </c>
      <c r="DO22" s="2">
        <f t="shared" si="225"/>
        <v>0.43799176216725066</v>
      </c>
      <c r="DP22" s="2">
        <f t="shared" si="226"/>
        <v>3.4586128006167489</v>
      </c>
      <c r="DQ22" s="2">
        <f t="shared" si="74"/>
        <v>14097.299999999996</v>
      </c>
      <c r="DR22" s="2">
        <f t="shared" si="227"/>
        <v>8.6718957976599995</v>
      </c>
      <c r="DS22" s="2">
        <f t="shared" si="228"/>
        <v>1352.4806958628324</v>
      </c>
      <c r="DT22" s="2">
        <f t="shared" si="229"/>
        <v>1295.486172227831</v>
      </c>
      <c r="DU22" s="2">
        <f t="shared" si="230"/>
        <v>1347.486172227831</v>
      </c>
      <c r="DV22" s="9">
        <f t="shared" ca="1" si="231"/>
        <v>3.4977069933304064</v>
      </c>
      <c r="DW22" s="2">
        <f t="shared" ca="1" si="80"/>
        <v>3.2975776090315181</v>
      </c>
      <c r="DX22" s="2">
        <f t="shared" si="232"/>
        <v>4485.09</v>
      </c>
      <c r="DY22" s="2">
        <f t="shared" ca="1" si="233"/>
        <v>1360.1165861012892</v>
      </c>
      <c r="DZ22" s="2">
        <f t="shared" ca="1" si="234"/>
        <v>5.2850664752498577</v>
      </c>
      <c r="EA22" s="2"/>
      <c r="EB22" s="2">
        <f t="shared" si="83"/>
        <v>0.80559254327563246</v>
      </c>
      <c r="EC22" s="2">
        <f t="shared" si="84"/>
        <v>1.0012515644555695E-2</v>
      </c>
      <c r="ED22" s="2">
        <f t="shared" si="85"/>
        <v>0.159866614358572</v>
      </c>
      <c r="EE22" s="2">
        <f t="shared" si="86"/>
        <v>0.10995128740431456</v>
      </c>
      <c r="EF22" s="2">
        <f t="shared" si="87"/>
        <v>1.4096419509444602E-3</v>
      </c>
      <c r="EG22" s="2">
        <f t="shared" si="88"/>
        <v>0.32009925558312657</v>
      </c>
      <c r="EH22" s="2">
        <f t="shared" si="89"/>
        <v>0.20149786019971472</v>
      </c>
      <c r="EI22" s="2">
        <f t="shared" si="90"/>
        <v>3.5495321071313334E-2</v>
      </c>
      <c r="EJ22" s="2">
        <f t="shared" si="91"/>
        <v>0</v>
      </c>
      <c r="EK22" s="2">
        <f t="shared" si="92"/>
        <v>0</v>
      </c>
      <c r="EL22" s="2">
        <f t="shared" si="93"/>
        <v>0</v>
      </c>
      <c r="EM22" s="2">
        <f t="shared" si="235"/>
        <v>1.6439250394881737</v>
      </c>
      <c r="EN22" s="2">
        <f t="shared" si="236"/>
        <v>0.49004213934623742</v>
      </c>
      <c r="EO22" s="2">
        <f t="shared" si="237"/>
        <v>6.090615693567775E-3</v>
      </c>
      <c r="EP22" s="2">
        <f t="shared" si="238"/>
        <v>9.7246900265200359E-2</v>
      </c>
      <c r="EQ22" s="2">
        <f t="shared" si="239"/>
        <v>6.6883394779695821E-2</v>
      </c>
      <c r="ER22" s="2">
        <f t="shared" si="240"/>
        <v>8.5748554044979078E-4</v>
      </c>
      <c r="ES22" s="2">
        <f t="shared" si="241"/>
        <v>0.19471645476170105</v>
      </c>
      <c r="ET22" s="2">
        <f t="shared" si="242"/>
        <v>0.12257119720157671</v>
      </c>
      <c r="EU22" s="2">
        <f t="shared" si="243"/>
        <v>2.1591812411571144E-2</v>
      </c>
      <c r="EV22" s="2">
        <f t="shared" si="244"/>
        <v>0</v>
      </c>
      <c r="EW22" s="2">
        <f t="shared" si="245"/>
        <v>0</v>
      </c>
      <c r="EX22" s="2">
        <f t="shared" si="246"/>
        <v>0</v>
      </c>
      <c r="EY22" s="2">
        <f t="shared" si="247"/>
        <v>1.0000000000000002</v>
      </c>
      <c r="EZ22" s="2">
        <f t="shared" si="97"/>
        <v>0.17383542268132912</v>
      </c>
      <c r="FA22" s="2">
        <f t="shared" si="98"/>
        <v>0.61727087894367971</v>
      </c>
      <c r="FB22" s="2">
        <f t="shared" si="99"/>
        <v>1.5110547538397716</v>
      </c>
      <c r="FC22" s="2">
        <f t="shared" si="248"/>
        <v>0.55302599190482438</v>
      </c>
      <c r="FD22" s="2">
        <f t="shared" si="249"/>
        <v>0.89592107901024587</v>
      </c>
      <c r="FE22" s="2">
        <f t="shared" ca="1" si="102"/>
        <v>0.10845657538393554</v>
      </c>
      <c r="FF22" s="2">
        <f t="shared" ca="1" si="103"/>
        <v>0.10845657538393554</v>
      </c>
      <c r="FG22" s="2">
        <f t="shared" ca="1" si="104"/>
        <v>0.11165737699208894</v>
      </c>
      <c r="FH22" s="2">
        <f t="shared" ca="1" si="105"/>
        <v>-5.565825118277349</v>
      </c>
      <c r="FI22" s="2">
        <f t="shared" ca="1" si="106"/>
        <v>5.9609380860748927E-3</v>
      </c>
      <c r="FJ22" s="2">
        <f t="shared" ca="1" si="107"/>
        <v>5.4961518607546035E-2</v>
      </c>
      <c r="FK22" s="2">
        <f t="shared" ca="1" si="108"/>
        <v>0.28226437603750204</v>
      </c>
      <c r="FL22" s="2">
        <f t="shared" ca="1" si="109"/>
        <v>9.5191707549165339E-2</v>
      </c>
      <c r="FM22" s="2">
        <f t="shared" ca="1" si="250"/>
        <v>0.33724307999999986</v>
      </c>
      <c r="FN22" s="2">
        <f t="shared" ca="1" si="251"/>
        <v>9.5191707549165311E-2</v>
      </c>
      <c r="FO22" s="2">
        <f t="shared" ca="1" si="110"/>
        <v>9.519170754916538E-2</v>
      </c>
      <c r="FP22" s="2">
        <f t="shared" ca="1" si="252"/>
        <v>1.8261643018423019</v>
      </c>
      <c r="FQ22" s="2">
        <f t="shared" ca="1" si="253"/>
        <v>0.17383569815769806</v>
      </c>
      <c r="FR22" s="2">
        <f t="shared" si="148"/>
        <v>0.33333333333333331</v>
      </c>
      <c r="FS22" s="2">
        <f t="shared" ca="1" si="254"/>
        <v>5.7945232719232687E-2</v>
      </c>
      <c r="FT22" s="2">
        <f t="shared" ca="1" si="255"/>
        <v>0.60872143394743394</v>
      </c>
      <c r="FU22" s="2">
        <f t="shared" si="256"/>
        <v>20.026666666666664</v>
      </c>
      <c r="FV22" s="2">
        <f t="shared" ca="1" si="257"/>
        <v>4.1633649708768683</v>
      </c>
      <c r="FW22" s="2">
        <f t="shared" ca="1" si="258"/>
        <v>24.531473788081588</v>
      </c>
      <c r="FX22" s="2">
        <f t="shared" ca="1" si="259"/>
        <v>48.721505425625125</v>
      </c>
      <c r="FY22" s="2">
        <f t="shared" ca="1" si="260"/>
        <v>41.104367551281818</v>
      </c>
      <c r="FZ22" s="2">
        <f t="shared" ca="1" si="261"/>
        <v>8.5452305599061855</v>
      </c>
      <c r="GA22" s="2">
        <f t="shared" ca="1" si="262"/>
        <v>50.350401888811987</v>
      </c>
      <c r="GB22" s="2">
        <f t="shared" ca="1" si="263"/>
        <v>91.308215092115091</v>
      </c>
      <c r="GC22" s="2">
        <f t="shared" si="120"/>
        <v>1000000000</v>
      </c>
      <c r="GD22" s="2">
        <f t="shared" si="149"/>
        <v>38</v>
      </c>
      <c r="GE22">
        <f t="shared" si="150"/>
        <v>1248.4191566</v>
      </c>
      <c r="GF22">
        <f t="shared" si="151"/>
        <v>1247.796</v>
      </c>
      <c r="GG22">
        <f t="shared" si="152"/>
        <v>1706.3210000000001</v>
      </c>
      <c r="GH22" s="2">
        <f t="shared" si="153"/>
        <v>0.21729073061118442</v>
      </c>
      <c r="GI22" s="2">
        <f t="shared" si="154"/>
        <v>1.8929999999999998</v>
      </c>
      <c r="GJ22" s="2">
        <f t="shared" si="155"/>
        <v>-2.9020000000000001</v>
      </c>
      <c r="GK22" s="2">
        <f t="shared" si="156"/>
        <v>2.0169999999999999</v>
      </c>
      <c r="GL22" s="2">
        <f t="shared" si="157"/>
        <v>-0.21729073061118442</v>
      </c>
      <c r="GM22">
        <f t="shared" si="158"/>
        <v>0.47959015038836555</v>
      </c>
      <c r="GN22">
        <f t="shared" si="159"/>
        <v>0.11030895376604709</v>
      </c>
      <c r="GO22">
        <f t="shared" si="160"/>
        <v>-0.22505308742815469</v>
      </c>
      <c r="GP22">
        <f t="shared" si="161"/>
        <v>-5.3864831584329309E-2</v>
      </c>
      <c r="GQ22">
        <f t="shared" si="162"/>
        <v>0.31284085275161128</v>
      </c>
      <c r="GR22">
        <f t="shared" si="163"/>
        <v>0.2300067123495351</v>
      </c>
      <c r="GS22">
        <f t="shared" si="164"/>
        <v>-6.0879302077778294E-2</v>
      </c>
      <c r="GT22">
        <f t="shared" si="165"/>
        <v>5.6836602496915896E-4</v>
      </c>
      <c r="GU22">
        <f t="shared" si="166"/>
        <v>0.16511528099692363</v>
      </c>
      <c r="GV22">
        <f t="shared" si="167"/>
        <v>-0.50167458700336487</v>
      </c>
      <c r="GW22">
        <f t="shared" si="168"/>
        <v>0.14303084438192432</v>
      </c>
      <c r="GX22" s="2"/>
      <c r="GY22" s="15">
        <f t="shared" si="169"/>
        <v>0.11690653640730124</v>
      </c>
      <c r="GZ22" s="2">
        <f t="shared" si="170"/>
        <v>0.10333751595876814</v>
      </c>
      <c r="HA22" s="2">
        <f t="shared" si="171"/>
        <v>6.1557788635635435E-2</v>
      </c>
      <c r="HB22" s="2">
        <f t="shared" si="172"/>
        <v>0.2818018410017048</v>
      </c>
      <c r="HC22" s="2">
        <f t="shared" si="173"/>
        <v>0.41485370000330835</v>
      </c>
      <c r="HD22" s="2">
        <f t="shared" si="174"/>
        <v>0.36670277096643589</v>
      </c>
      <c r="HE22" s="2">
        <f t="shared" si="175"/>
        <v>0.21844352903025582</v>
      </c>
      <c r="HF22" s="2">
        <f t="shared" si="176"/>
        <v>-1.3148105305164108</v>
      </c>
      <c r="HG22" s="2">
        <f t="shared" si="177"/>
        <v>-1.3136545795291721</v>
      </c>
      <c r="HH22" s="2">
        <f t="shared" si="178"/>
        <v>-1.3142325550227913</v>
      </c>
      <c r="HI22" s="2">
        <f t="shared" si="179"/>
        <v>2.4913707220398065</v>
      </c>
      <c r="HJ22" s="2">
        <f t="shared" si="180"/>
        <v>0.17375081798783318</v>
      </c>
      <c r="HK22" s="2">
        <f t="shared" si="181"/>
        <v>0.32633371191635113</v>
      </c>
      <c r="HL22" s="2">
        <f t="shared" si="182"/>
        <v>1.0151898734177214</v>
      </c>
    </row>
    <row r="23" spans="1:220" ht="20.25">
      <c r="A23" s="100" t="s">
        <v>146</v>
      </c>
      <c r="B23" s="80">
        <v>0</v>
      </c>
      <c r="C23" s="94">
        <f t="shared" si="126"/>
        <v>-5.691300534781929</v>
      </c>
      <c r="D23" s="59">
        <f t="shared" si="183"/>
        <v>-6.0746026352200939</v>
      </c>
      <c r="E23" s="60">
        <f t="shared" si="184"/>
        <v>-5.691300534781929</v>
      </c>
      <c r="F23" s="83">
        <v>48.073698998676072</v>
      </c>
      <c r="G23" s="83">
        <v>0.90909090909090917</v>
      </c>
      <c r="H23" s="83">
        <v>15.353535353535353</v>
      </c>
      <c r="I23" s="83">
        <v>8.3769570035758445</v>
      </c>
      <c r="J23" s="83">
        <v>0.10101010101010102</v>
      </c>
      <c r="K23" s="83">
        <v>14.256414704818788</v>
      </c>
      <c r="L23" s="83">
        <v>10.707070707070708</v>
      </c>
      <c r="M23" s="83">
        <v>2.2222222222222223</v>
      </c>
      <c r="N23" s="83">
        <v>0</v>
      </c>
      <c r="O23" s="84"/>
      <c r="P23" s="84"/>
      <c r="Q23" s="84"/>
      <c r="R23" s="3">
        <f t="shared" si="185"/>
        <v>100.00000000000001</v>
      </c>
      <c r="S23" s="135">
        <v>1</v>
      </c>
      <c r="T23" s="288">
        <f t="shared" si="186"/>
        <v>0.33639165490409761</v>
      </c>
      <c r="U23" s="54">
        <f t="shared" si="187"/>
        <v>1377.4872551947365</v>
      </c>
      <c r="V23" s="54">
        <f t="shared" ca="1" si="188"/>
        <v>1367.3712606546153</v>
      </c>
      <c r="W23" s="54">
        <f t="shared" si="5"/>
        <v>1377.4872551947365</v>
      </c>
      <c r="X23" s="101">
        <f t="shared" ca="1" si="6"/>
        <v>1494.4358413201974</v>
      </c>
      <c r="Y23" s="101">
        <f t="shared" ca="1" si="7"/>
        <v>1410.1956813883805</v>
      </c>
      <c r="Z23" s="50">
        <f t="shared" ca="1" si="8"/>
        <v>1465.3321147384852</v>
      </c>
      <c r="AA23" s="50">
        <f t="shared" ca="1" si="9"/>
        <v>1434.6411968301602</v>
      </c>
      <c r="AB23" s="103">
        <f t="shared" ca="1" si="128"/>
        <v>52.654617368256403</v>
      </c>
      <c r="AC23" s="283">
        <v>13.3</v>
      </c>
      <c r="AD23" s="283">
        <f t="shared" ca="1" si="10"/>
        <v>10.753986705356319</v>
      </c>
      <c r="AE23" s="3">
        <f t="shared" ca="1" si="11"/>
        <v>100.39682099185539</v>
      </c>
      <c r="AF23" s="3">
        <f t="shared" ca="1" si="12"/>
        <v>212.31535742031815</v>
      </c>
      <c r="AG23" s="3">
        <f t="shared" ca="1" si="13"/>
        <v>472.8665048619211</v>
      </c>
      <c r="AH23" s="3">
        <f t="shared" ca="1" si="14"/>
        <v>78.023922880901225</v>
      </c>
      <c r="AI23" s="85">
        <f t="shared" si="189"/>
        <v>0.3041274240419346</v>
      </c>
      <c r="AJ23" s="85">
        <f t="shared" ca="1" si="15"/>
        <v>1.6390827274126711</v>
      </c>
      <c r="AK23" s="85">
        <f t="shared" si="16"/>
        <v>0.26851990632159201</v>
      </c>
      <c r="AL23" s="86">
        <f t="shared" ca="1" si="130"/>
        <v>0.27676605121920111</v>
      </c>
      <c r="AM23" s="85">
        <f t="shared" si="17"/>
        <v>0.33639165490409761</v>
      </c>
      <c r="AN23" s="85">
        <f t="shared" ca="1" si="190"/>
        <v>0.33639165490409728</v>
      </c>
      <c r="AO23" s="123">
        <f t="shared" ca="1" si="191"/>
        <v>41.163497097819196</v>
      </c>
      <c r="AP23" s="123">
        <f t="shared" ca="1" si="192"/>
        <v>8.2299229932364284</v>
      </c>
      <c r="AQ23" s="123">
        <f t="shared" ca="1" si="193"/>
        <v>50.606579908944383</v>
      </c>
      <c r="AR23" s="2"/>
      <c r="AS23" s="53">
        <f t="shared" ca="1" si="132"/>
        <v>78.668449075868921</v>
      </c>
      <c r="AT23" s="53">
        <f t="shared" ca="1" si="194"/>
        <v>91.6409549900889</v>
      </c>
      <c r="AU23" s="63">
        <f t="shared" ca="1" si="22"/>
        <v>0.33639165490409728</v>
      </c>
      <c r="AV23" s="53">
        <f t="shared" si="195"/>
        <v>3.1546034966541043</v>
      </c>
      <c r="AW23" s="53">
        <f t="shared" ca="1" si="196"/>
        <v>3.189964998199081</v>
      </c>
      <c r="AX23" s="54">
        <f t="shared" si="197"/>
        <v>1383.5751604019729</v>
      </c>
      <c r="AY23" s="54">
        <f t="shared" si="198"/>
        <v>1377.4872551947365</v>
      </c>
      <c r="AZ23" s="54">
        <f t="shared" ca="1" si="26"/>
        <v>1367.3712606546153</v>
      </c>
      <c r="BA23" s="34"/>
      <c r="BB23" s="63">
        <f t="shared" ca="1" si="27"/>
        <v>0.1650020081326854</v>
      </c>
      <c r="BC23" s="63">
        <f t="shared" ca="1" si="28"/>
        <v>5.3580863717436963E-2</v>
      </c>
      <c r="BD23" s="53">
        <f t="shared" si="29"/>
        <v>8.3233606308416364E-2</v>
      </c>
      <c r="BE23" s="53">
        <f t="shared" ca="1" si="30"/>
        <v>0.18623844479482848</v>
      </c>
      <c r="BF23" s="53">
        <f t="shared" ca="1" si="31"/>
        <v>0.20816340006759901</v>
      </c>
      <c r="BH23" s="53">
        <f t="shared" si="32"/>
        <v>0.10051742613379112</v>
      </c>
      <c r="BI23" s="53">
        <f t="shared" si="33"/>
        <v>0.14376557147054231</v>
      </c>
      <c r="BK23" s="53">
        <f t="shared" si="134"/>
        <v>0.20433161992365195</v>
      </c>
      <c r="BL23" s="53">
        <f t="shared" si="135"/>
        <v>0.11536963229312264</v>
      </c>
      <c r="BM23" s="53">
        <f t="shared" si="136"/>
        <v>0.17183442636795709</v>
      </c>
      <c r="BN23" s="53">
        <f t="shared" si="137"/>
        <v>0.21247542662481897</v>
      </c>
      <c r="BO23" s="53">
        <f t="shared" si="138"/>
        <v>0.16069345005636843</v>
      </c>
      <c r="BP23" s="53">
        <f t="shared" si="139"/>
        <v>0.22021214674199119</v>
      </c>
      <c r="BQ23" s="54">
        <f t="shared" si="140"/>
        <v>1335.3372611598547</v>
      </c>
      <c r="BR23" s="262">
        <f t="shared" si="141"/>
        <v>2.4271423712690212</v>
      </c>
      <c r="BS23" s="54">
        <f t="shared" si="142"/>
        <v>1456.9299491289471</v>
      </c>
      <c r="BU23" s="2">
        <f t="shared" si="37"/>
        <v>0.80016143473162571</v>
      </c>
      <c r="BV23" s="2">
        <f t="shared" si="38"/>
        <v>1.1377858686995108E-2</v>
      </c>
      <c r="BW23" s="2">
        <f t="shared" si="39"/>
        <v>0.30116781784102303</v>
      </c>
      <c r="BX23" s="2">
        <f t="shared" si="40"/>
        <v>0.11658951988275358</v>
      </c>
      <c r="BY23" s="2">
        <f t="shared" si="41"/>
        <v>1.4238807585297579E-3</v>
      </c>
      <c r="BZ23" s="2">
        <f t="shared" si="42"/>
        <v>0.35375718870518086</v>
      </c>
      <c r="CA23" s="2">
        <f t="shared" si="43"/>
        <v>0.19092494128157467</v>
      </c>
      <c r="CB23" s="2">
        <f t="shared" si="44"/>
        <v>7.1707719335986519E-2</v>
      </c>
      <c r="CC23" s="2">
        <f t="shared" si="45"/>
        <v>0</v>
      </c>
      <c r="CD23" s="2">
        <f t="shared" si="46"/>
        <v>0</v>
      </c>
      <c r="CE23" s="2">
        <f t="shared" si="47"/>
        <v>0</v>
      </c>
      <c r="CF23" s="2">
        <f t="shared" si="199"/>
        <v>1.8471103612236692</v>
      </c>
      <c r="CG23" s="2">
        <f t="shared" si="200"/>
        <v>0.43319633278519248</v>
      </c>
      <c r="CH23" s="2">
        <f t="shared" si="201"/>
        <v>6.1598153125282298E-3</v>
      </c>
      <c r="CI23" s="2">
        <f t="shared" si="202"/>
        <v>0.16304809077109292</v>
      </c>
      <c r="CJ23" s="2">
        <f t="shared" si="203"/>
        <v>6.3119953377076848E-2</v>
      </c>
      <c r="CK23" s="2">
        <f t="shared" si="204"/>
        <v>7.7086934729036377E-4</v>
      </c>
      <c r="CL23" s="2">
        <f t="shared" si="205"/>
        <v>0.19151924873120449</v>
      </c>
      <c r="CM23" s="2">
        <f t="shared" si="206"/>
        <v>0.10336412230132865</v>
      </c>
      <c r="CN23" s="2">
        <f t="shared" si="207"/>
        <v>3.8821567374286048E-2</v>
      </c>
      <c r="CO23" s="2">
        <f t="shared" si="208"/>
        <v>0</v>
      </c>
      <c r="CP23" s="2">
        <f t="shared" si="209"/>
        <v>0</v>
      </c>
      <c r="CQ23" s="2">
        <f t="shared" si="210"/>
        <v>0</v>
      </c>
      <c r="CR23" s="2"/>
      <c r="CS23" s="2">
        <f t="shared" ca="1" si="52"/>
        <v>0.68514475861882818</v>
      </c>
      <c r="CT23" s="2">
        <f t="shared" ca="1" si="53"/>
        <v>0.11454311751198927</v>
      </c>
      <c r="CU23" s="2">
        <f t="shared" ca="1" si="54"/>
        <v>1.2557463997256673</v>
      </c>
      <c r="CV23" s="2">
        <f t="shared" ca="1" si="211"/>
        <v>2.0554342758564847</v>
      </c>
      <c r="CW23" s="2">
        <f t="shared" ca="1" si="212"/>
        <v>0.33333333333333331</v>
      </c>
      <c r="CX23" s="2">
        <f t="shared" ca="1" si="213"/>
        <v>5.572696673274069E-2</v>
      </c>
      <c r="CY23" s="2">
        <f t="shared" ca="1" si="214"/>
        <v>0.61093969993392605</v>
      </c>
      <c r="CZ23" s="2">
        <f t="shared" si="215"/>
        <v>0.35877419375690034</v>
      </c>
      <c r="DA23" s="2">
        <f t="shared" si="216"/>
        <v>0.43319633278519248</v>
      </c>
      <c r="DB23" s="2">
        <f t="shared" si="217"/>
        <v>-0.66621238862775689</v>
      </c>
      <c r="DC23" s="2"/>
      <c r="DD23" s="2">
        <f t="shared" si="218"/>
        <v>1383.5751604019729</v>
      </c>
      <c r="DE23" s="2">
        <f t="shared" si="219"/>
        <v>14097.179471759839</v>
      </c>
      <c r="DF23" s="2">
        <f t="shared" si="64"/>
        <v>8.5090634274784751</v>
      </c>
      <c r="DG23" s="2">
        <f t="shared" si="220"/>
        <v>1598.6372551947363</v>
      </c>
      <c r="DH23" s="2">
        <f t="shared" si="221"/>
        <v>1325.4872551947365</v>
      </c>
      <c r="DI23" s="2">
        <f t="shared" si="143"/>
        <v>13602.905801982104</v>
      </c>
      <c r="DJ23" s="2">
        <f t="shared" si="67"/>
        <v>8.5090634274784751</v>
      </c>
      <c r="DK23" s="2">
        <f t="shared" si="222"/>
        <v>1598.6372551947363</v>
      </c>
      <c r="DL23" s="2">
        <f t="shared" si="69"/>
        <v>1</v>
      </c>
      <c r="DM23" s="2">
        <f t="shared" si="223"/>
        <v>-0.66621238862775689</v>
      </c>
      <c r="DN23" s="2">
        <f t="shared" si="224"/>
        <v>0.35877419375690034</v>
      </c>
      <c r="DO23" s="2">
        <f t="shared" si="225"/>
        <v>0.43319633278519248</v>
      </c>
      <c r="DP23" s="2">
        <f t="shared" si="226"/>
        <v>3.1546034966541043</v>
      </c>
      <c r="DQ23" s="2">
        <f t="shared" si="74"/>
        <v>14097.299999999996</v>
      </c>
      <c r="DR23" s="2">
        <f t="shared" si="227"/>
        <v>8.5088402003063397</v>
      </c>
      <c r="DS23" s="2">
        <f t="shared" si="228"/>
        <v>1383.6327892093282</v>
      </c>
      <c r="DT23" s="2">
        <f t="shared" si="229"/>
        <v>1325.5460748787186</v>
      </c>
      <c r="DU23" s="2">
        <f t="shared" si="230"/>
        <v>1377.5460748787186</v>
      </c>
      <c r="DV23" s="9">
        <f t="shared" ca="1" si="231"/>
        <v>3.189964998199081</v>
      </c>
      <c r="DW23" s="2">
        <f t="shared" ca="1" si="80"/>
        <v>3.2043432777185044</v>
      </c>
      <c r="DX23" s="2">
        <f t="shared" si="232"/>
        <v>4485.09</v>
      </c>
      <c r="DY23" s="2">
        <f t="shared" ca="1" si="233"/>
        <v>1399.6908605851334</v>
      </c>
      <c r="DZ23" s="2">
        <f t="shared" ca="1" si="234"/>
        <v>4.8466709103979619</v>
      </c>
      <c r="EA23" s="2"/>
      <c r="EB23" s="2">
        <f t="shared" si="83"/>
        <v>0.80016143473162571</v>
      </c>
      <c r="EC23" s="2">
        <f t="shared" si="84"/>
        <v>1.1377858686995108E-2</v>
      </c>
      <c r="ED23" s="2">
        <f t="shared" si="85"/>
        <v>0.15058390892051152</v>
      </c>
      <c r="EE23" s="2">
        <f t="shared" si="86"/>
        <v>0.11658951988275358</v>
      </c>
      <c r="EF23" s="2">
        <f t="shared" si="87"/>
        <v>1.4238807585297579E-3</v>
      </c>
      <c r="EG23" s="2">
        <f t="shared" si="88"/>
        <v>0.35375718870518086</v>
      </c>
      <c r="EH23" s="2">
        <f t="shared" si="89"/>
        <v>0.19092494128157467</v>
      </c>
      <c r="EI23" s="2">
        <f t="shared" si="90"/>
        <v>3.585385966799326E-2</v>
      </c>
      <c r="EJ23" s="2">
        <f t="shared" si="91"/>
        <v>0</v>
      </c>
      <c r="EK23" s="2">
        <f t="shared" si="92"/>
        <v>0</v>
      </c>
      <c r="EL23" s="2">
        <f t="shared" si="93"/>
        <v>0</v>
      </c>
      <c r="EM23" s="2">
        <f t="shared" si="235"/>
        <v>1.6606725926351644</v>
      </c>
      <c r="EN23" s="2">
        <f t="shared" si="236"/>
        <v>0.48182973469919504</v>
      </c>
      <c r="EO23" s="2">
        <f t="shared" si="237"/>
        <v>6.8513557322823389E-3</v>
      </c>
      <c r="EP23" s="2">
        <f t="shared" si="238"/>
        <v>9.0676458194305559E-2</v>
      </c>
      <c r="EQ23" s="2">
        <f t="shared" si="239"/>
        <v>7.0206204642510955E-2</v>
      </c>
      <c r="ER23" s="2">
        <f t="shared" si="240"/>
        <v>8.5741209004379121E-4</v>
      </c>
      <c r="ES23" s="2">
        <f t="shared" si="241"/>
        <v>0.21302042935738286</v>
      </c>
      <c r="ET23" s="2">
        <f t="shared" si="242"/>
        <v>0.11496844238189896</v>
      </c>
      <c r="EU23" s="2">
        <f t="shared" si="243"/>
        <v>2.1589962902380508E-2</v>
      </c>
      <c r="EV23" s="2">
        <f t="shared" si="244"/>
        <v>0</v>
      </c>
      <c r="EW23" s="2">
        <f t="shared" si="245"/>
        <v>0</v>
      </c>
      <c r="EX23" s="2">
        <f t="shared" si="246"/>
        <v>0</v>
      </c>
      <c r="EY23" s="2">
        <f t="shared" si="247"/>
        <v>0.99999999999999989</v>
      </c>
      <c r="EZ23" s="2">
        <f t="shared" si="97"/>
        <v>0.16304809077109292</v>
      </c>
      <c r="FA23" s="2">
        <f t="shared" si="98"/>
        <v>0.60240423886881367</v>
      </c>
      <c r="FB23" s="2">
        <f t="shared" si="99"/>
        <v>1.5014694097961241</v>
      </c>
      <c r="FC23" s="2">
        <f t="shared" si="248"/>
        <v>0.5933218641169935</v>
      </c>
      <c r="FD23" s="2">
        <f t="shared" si="249"/>
        <v>0.98492312277072469</v>
      </c>
      <c r="FE23" s="2">
        <f t="shared" ca="1" si="102"/>
        <v>0.10771842034497242</v>
      </c>
      <c r="FF23" s="2">
        <f t="shared" ca="1" si="103"/>
        <v>0.10771842034497242</v>
      </c>
      <c r="FG23" s="2">
        <f t="shared" ca="1" si="104"/>
        <v>0.11393583827713041</v>
      </c>
      <c r="FH23" s="2">
        <f t="shared" ca="1" si="105"/>
        <v>-5.234370087329177</v>
      </c>
      <c r="FI23" s="2">
        <f t="shared" ca="1" si="106"/>
        <v>6.2220439675123576E-3</v>
      </c>
      <c r="FJ23" s="2">
        <f t="shared" ca="1" si="107"/>
        <v>5.7762116707486238E-2</v>
      </c>
      <c r="FK23" s="2">
        <f t="shared" ca="1" si="108"/>
        <v>0.27115763911347274</v>
      </c>
      <c r="FL23" s="2">
        <f t="shared" ca="1" si="109"/>
        <v>9.1215166961269065E-2</v>
      </c>
      <c r="FM23" s="2">
        <f t="shared" ca="1" si="250"/>
        <v>0.33639165490409728</v>
      </c>
      <c r="FN23" s="2">
        <f t="shared" ca="1" si="251"/>
        <v>9.1215166961269079E-2</v>
      </c>
      <c r="FO23" s="2">
        <f t="shared" ca="1" si="110"/>
        <v>9.1215166961269162E-2</v>
      </c>
      <c r="FP23" s="2">
        <f t="shared" ca="1" si="252"/>
        <v>1.8328190998017779</v>
      </c>
      <c r="FQ23" s="2">
        <f t="shared" ca="1" si="253"/>
        <v>0.16718090019822207</v>
      </c>
      <c r="FR23" s="2">
        <f t="shared" si="148"/>
        <v>0.33333333333333331</v>
      </c>
      <c r="FS23" s="2">
        <f t="shared" ca="1" si="254"/>
        <v>5.572696673274069E-2</v>
      </c>
      <c r="FT23" s="2">
        <f t="shared" ca="1" si="255"/>
        <v>0.61093969993392594</v>
      </c>
      <c r="FU23" s="2">
        <f t="shared" si="256"/>
        <v>20.026666666666664</v>
      </c>
      <c r="FV23" s="2">
        <f t="shared" ca="1" si="257"/>
        <v>4.0039825597474179</v>
      </c>
      <c r="FW23" s="2">
        <f t="shared" ca="1" si="258"/>
        <v>24.620869907337212</v>
      </c>
      <c r="FX23" s="2">
        <f t="shared" ca="1" si="259"/>
        <v>48.651519133751293</v>
      </c>
      <c r="FY23" s="2">
        <f t="shared" ca="1" si="260"/>
        <v>41.163497097819196</v>
      </c>
      <c r="FZ23" s="2">
        <f t="shared" ca="1" si="261"/>
        <v>8.2299229932364284</v>
      </c>
      <c r="GA23" s="2">
        <f t="shared" ca="1" si="262"/>
        <v>50.606579908944383</v>
      </c>
      <c r="GB23" s="2">
        <f t="shared" ca="1" si="263"/>
        <v>91.6409549900889</v>
      </c>
      <c r="GC23" s="2">
        <f t="shared" si="120"/>
        <v>1000000000</v>
      </c>
      <c r="GD23" s="2">
        <f t="shared" si="149"/>
        <v>38</v>
      </c>
      <c r="GE23">
        <f t="shared" si="150"/>
        <v>1248.4191566</v>
      </c>
      <c r="GF23">
        <f t="shared" si="151"/>
        <v>1247.796</v>
      </c>
      <c r="GG23">
        <f t="shared" si="152"/>
        <v>1706.3210000000001</v>
      </c>
      <c r="GH23" s="2">
        <f t="shared" si="153"/>
        <v>0.28284445819690612</v>
      </c>
      <c r="GI23" s="2">
        <f t="shared" si="154"/>
        <v>1.8929999999999998</v>
      </c>
      <c r="GJ23" s="2">
        <f t="shared" si="155"/>
        <v>-2.9020000000000001</v>
      </c>
      <c r="GK23" s="2">
        <f t="shared" si="156"/>
        <v>2.0169999999999999</v>
      </c>
      <c r="GL23" s="2">
        <f t="shared" si="157"/>
        <v>-0.28284445819690612</v>
      </c>
      <c r="GM23">
        <f t="shared" si="158"/>
        <v>0.47959015038836555</v>
      </c>
      <c r="GN23">
        <f t="shared" si="159"/>
        <v>0.11030895376604709</v>
      </c>
      <c r="GO23">
        <f t="shared" si="160"/>
        <v>-0.22505308742815469</v>
      </c>
      <c r="GP23">
        <f t="shared" si="161"/>
        <v>-7.0115135894126462E-2</v>
      </c>
      <c r="GQ23">
        <f t="shared" si="162"/>
        <v>0.31284085275161128</v>
      </c>
      <c r="GR23">
        <f t="shared" si="163"/>
        <v>0.2300067123495351</v>
      </c>
      <c r="GS23">
        <f t="shared" si="164"/>
        <v>-4.4628997767981141E-2</v>
      </c>
      <c r="GT23">
        <f t="shared" si="165"/>
        <v>5.6836602496915896E-4</v>
      </c>
      <c r="GU23">
        <f t="shared" si="166"/>
        <v>0.18139417442447253</v>
      </c>
      <c r="GV23">
        <f t="shared" si="167"/>
        <v>-0.45665270488918613</v>
      </c>
      <c r="GW23">
        <f t="shared" si="168"/>
        <v>0.20433161992365195</v>
      </c>
      <c r="GX23" s="2"/>
      <c r="GY23" s="15">
        <f t="shared" si="169"/>
        <v>0.12937808309840532</v>
      </c>
      <c r="GZ23" s="2">
        <f t="shared" si="170"/>
        <v>9.7527813926587895E-2</v>
      </c>
      <c r="HA23" s="2">
        <f t="shared" si="171"/>
        <v>5.7226930277083518E-2</v>
      </c>
      <c r="HB23" s="2">
        <f t="shared" si="172"/>
        <v>0.28413282730207673</v>
      </c>
      <c r="HC23" s="2">
        <f t="shared" si="173"/>
        <v>0.45534366559079986</v>
      </c>
      <c r="HD23" s="2">
        <f t="shared" si="174"/>
        <v>0.34324725816669149</v>
      </c>
      <c r="HE23" s="2">
        <f t="shared" si="175"/>
        <v>0.20140907624250867</v>
      </c>
      <c r="HF23" s="2">
        <f t="shared" si="176"/>
        <v>-1.3372637771265468</v>
      </c>
      <c r="HG23" s="2">
        <f t="shared" si="177"/>
        <v>-1.3325516025503037</v>
      </c>
      <c r="HH23" s="2">
        <f t="shared" si="178"/>
        <v>-1.3349076898384253</v>
      </c>
      <c r="HI23" s="2">
        <f t="shared" si="179"/>
        <v>2.3757061234194214</v>
      </c>
      <c r="HJ23" s="2">
        <f t="shared" si="180"/>
        <v>0.18843869642722058</v>
      </c>
      <c r="HK23" s="2">
        <f t="shared" si="181"/>
        <v>0.33102596157141478</v>
      </c>
      <c r="HL23" s="2">
        <f t="shared" si="182"/>
        <v>0.95738822541127144</v>
      </c>
    </row>
    <row r="24" spans="1:220" ht="20.25">
      <c r="A24" s="100" t="s">
        <v>146</v>
      </c>
      <c r="B24" s="80">
        <v>0</v>
      </c>
      <c r="C24" s="94">
        <f t="shared" si="126"/>
        <v>-5.7528759612805791</v>
      </c>
      <c r="D24" s="59">
        <f t="shared" si="183"/>
        <v>-6.1372745723779811</v>
      </c>
      <c r="E24" s="60">
        <f t="shared" si="184"/>
        <v>-5.7528759612805791</v>
      </c>
      <c r="F24" s="83">
        <v>48.148902058549623</v>
      </c>
      <c r="G24" s="83">
        <v>0.91836734693877553</v>
      </c>
      <c r="H24" s="83">
        <v>15.510204081632653</v>
      </c>
      <c r="I24" s="83">
        <v>8.3534437419185412</v>
      </c>
      <c r="J24" s="83">
        <v>0.10204081632653061</v>
      </c>
      <c r="K24" s="83">
        <v>13.905817464837959</v>
      </c>
      <c r="L24" s="83">
        <v>10.816326530612244</v>
      </c>
      <c r="M24" s="83">
        <v>2.2448979591836737</v>
      </c>
      <c r="N24" s="83">
        <v>0</v>
      </c>
      <c r="O24" s="84"/>
      <c r="P24" s="84"/>
      <c r="Q24" s="84"/>
      <c r="R24" s="3">
        <f t="shared" si="185"/>
        <v>100.00000000000001</v>
      </c>
      <c r="S24" s="135">
        <v>1</v>
      </c>
      <c r="T24" s="288">
        <f t="shared" si="186"/>
        <v>0.33654289238085966</v>
      </c>
      <c r="U24" s="54">
        <f t="shared" si="187"/>
        <v>1370.4460218749759</v>
      </c>
      <c r="V24" s="54">
        <f t="shared" ca="1" si="188"/>
        <v>1360.6103003454007</v>
      </c>
      <c r="W24" s="54">
        <f t="shared" si="5"/>
        <v>1370.4460218749759</v>
      </c>
      <c r="X24" s="101">
        <f t="shared" ca="1" si="6"/>
        <v>1479.6941451792773</v>
      </c>
      <c r="Y24" s="101">
        <f t="shared" ca="1" si="7"/>
        <v>1396.5909932564775</v>
      </c>
      <c r="Z24" s="50">
        <f t="shared" ca="1" si="8"/>
        <v>1448.859937932508</v>
      </c>
      <c r="AA24" s="50">
        <f t="shared" ca="1" si="9"/>
        <v>1420.6746326486887</v>
      </c>
      <c r="AB24" s="103">
        <f t="shared" ca="1" si="128"/>
        <v>50.588854795694488</v>
      </c>
      <c r="AC24" s="283">
        <v>13.3</v>
      </c>
      <c r="AD24" s="283">
        <f t="shared" ca="1" si="10"/>
        <v>10.703662417996901</v>
      </c>
      <c r="AE24" s="3">
        <f t="shared" ca="1" si="11"/>
        <v>99.741863770214792</v>
      </c>
      <c r="AF24" s="3">
        <f t="shared" ca="1" si="12"/>
        <v>212.25885036291396</v>
      </c>
      <c r="AG24" s="3">
        <f t="shared" ca="1" si="13"/>
        <v>469.90673698495533</v>
      </c>
      <c r="AH24" s="3">
        <f t="shared" ca="1" si="14"/>
        <v>70.767994721284794</v>
      </c>
      <c r="AI24" s="85">
        <f t="shared" si="189"/>
        <v>0.30009878578117755</v>
      </c>
      <c r="AJ24" s="85">
        <f t="shared" ca="1" si="15"/>
        <v>1.5983970228872031</v>
      </c>
      <c r="AK24" s="85">
        <f t="shared" si="16"/>
        <v>0.26934180736110813</v>
      </c>
      <c r="AL24" s="86">
        <f t="shared" ca="1" si="130"/>
        <v>0.27660960121903572</v>
      </c>
      <c r="AM24" s="85">
        <f t="shared" si="17"/>
        <v>0.33654289238085966</v>
      </c>
      <c r="AN24" s="85">
        <f t="shared" ca="1" si="190"/>
        <v>0.33654289238085938</v>
      </c>
      <c r="AO24" s="123">
        <f t="shared" ca="1" si="191"/>
        <v>41.133912755382099</v>
      </c>
      <c r="AP24" s="123">
        <f t="shared" ca="1" si="192"/>
        <v>8.3876811289168174</v>
      </c>
      <c r="AQ24" s="123">
        <f t="shared" ca="1" si="193"/>
        <v>50.47840611570107</v>
      </c>
      <c r="AR24" s="2"/>
      <c r="AS24" s="53">
        <f t="shared" ca="1" si="132"/>
        <v>78.312667170120093</v>
      </c>
      <c r="AT24" s="53">
        <f t="shared" ca="1" si="194"/>
        <v>91.474594496886468</v>
      </c>
      <c r="AU24" s="63">
        <f t="shared" ca="1" si="22"/>
        <v>0.33654289238085938</v>
      </c>
      <c r="AV24" s="53">
        <f t="shared" si="195"/>
        <v>3.2242804338271016</v>
      </c>
      <c r="AW24" s="53">
        <f t="shared" ca="1" si="196"/>
        <v>3.2611113999508428</v>
      </c>
      <c r="AX24" s="54">
        <f t="shared" si="197"/>
        <v>1376.2780776127406</v>
      </c>
      <c r="AY24" s="54">
        <f t="shared" si="198"/>
        <v>1370.4460218749759</v>
      </c>
      <c r="AZ24" s="54">
        <f t="shared" ca="1" si="26"/>
        <v>1360.6103003454007</v>
      </c>
      <c r="BA24" s="34"/>
      <c r="BB24" s="63">
        <f t="shared" ca="1" si="27"/>
        <v>0.15060008540279882</v>
      </c>
      <c r="BC24" s="63">
        <f t="shared" ca="1" si="28"/>
        <v>5.2173330579015159E-2</v>
      </c>
      <c r="BD24" s="53">
        <f t="shared" si="29"/>
        <v>7.3084224990474289E-2</v>
      </c>
      <c r="BE24" s="53">
        <f t="shared" ca="1" si="30"/>
        <v>0.16902075089572627</v>
      </c>
      <c r="BF24" s="53">
        <f t="shared" ca="1" si="31"/>
        <v>0.19632781378299952</v>
      </c>
      <c r="BH24" s="53">
        <f t="shared" si="32"/>
        <v>8.8310718107047631E-2</v>
      </c>
      <c r="BI24" s="53">
        <f t="shared" si="33"/>
        <v>0.13217941990987137</v>
      </c>
      <c r="BK24" s="53">
        <f t="shared" si="134"/>
        <v>0.1887592584592967</v>
      </c>
      <c r="BL24" s="53">
        <f t="shared" si="135"/>
        <v>8.8472164164191403E-2</v>
      </c>
      <c r="BM24" s="53">
        <f t="shared" si="136"/>
        <v>0.12187593379119978</v>
      </c>
      <c r="BN24" s="53">
        <f t="shared" si="137"/>
        <v>0.205626210133941</v>
      </c>
      <c r="BO24" s="53">
        <f t="shared" si="138"/>
        <v>0.15560855809042878</v>
      </c>
      <c r="BP24" s="53">
        <f t="shared" si="139"/>
        <v>0.22073690942146007</v>
      </c>
      <c r="BQ24" s="54">
        <f t="shared" si="140"/>
        <v>1328.3624646435835</v>
      </c>
      <c r="BR24" s="262">
        <f t="shared" si="141"/>
        <v>2.3328083369138031</v>
      </c>
      <c r="BS24" s="54">
        <f t="shared" si="142"/>
        <v>1445.740088046919</v>
      </c>
      <c r="BU24" s="2">
        <f t="shared" si="37"/>
        <v>0.80141315010901504</v>
      </c>
      <c r="BV24" s="2">
        <f t="shared" si="38"/>
        <v>1.1493959285841996E-2</v>
      </c>
      <c r="BW24" s="2">
        <f t="shared" si="39"/>
        <v>0.30424095883940083</v>
      </c>
      <c r="BX24" s="2">
        <f t="shared" si="40"/>
        <v>0.11626226502322257</v>
      </c>
      <c r="BY24" s="2">
        <f t="shared" si="41"/>
        <v>1.4384101540249594E-3</v>
      </c>
      <c r="BZ24" s="2">
        <f t="shared" si="42"/>
        <v>0.34505750533096674</v>
      </c>
      <c r="CA24" s="2">
        <f t="shared" si="43"/>
        <v>0.19287315496812132</v>
      </c>
      <c r="CB24" s="2">
        <f t="shared" si="44"/>
        <v>7.2439430757782308E-2</v>
      </c>
      <c r="CC24" s="2">
        <f t="shared" si="45"/>
        <v>0</v>
      </c>
      <c r="CD24" s="2">
        <f t="shared" si="46"/>
        <v>0</v>
      </c>
      <c r="CE24" s="2">
        <f t="shared" si="47"/>
        <v>0</v>
      </c>
      <c r="CF24" s="2">
        <f t="shared" si="199"/>
        <v>1.8452188344683758</v>
      </c>
      <c r="CG24" s="2">
        <f t="shared" si="200"/>
        <v>0.43431875674513665</v>
      </c>
      <c r="CH24" s="2">
        <f t="shared" si="201"/>
        <v>6.2290494065726952E-3</v>
      </c>
      <c r="CI24" s="2">
        <f t="shared" si="202"/>
        <v>0.16488069228225463</v>
      </c>
      <c r="CJ24" s="2">
        <f t="shared" si="203"/>
        <v>6.3007304527497296E-2</v>
      </c>
      <c r="CK24" s="2">
        <f t="shared" si="204"/>
        <v>7.7953363967227143E-4</v>
      </c>
      <c r="CL24" s="2">
        <f t="shared" si="205"/>
        <v>0.18700085804748515</v>
      </c>
      <c r="CM24" s="2">
        <f t="shared" si="206"/>
        <v>0.104525897614572</v>
      </c>
      <c r="CN24" s="2">
        <f t="shared" si="207"/>
        <v>3.925790773680931E-2</v>
      </c>
      <c r="CO24" s="2">
        <f t="shared" si="208"/>
        <v>0</v>
      </c>
      <c r="CP24" s="2">
        <f t="shared" si="209"/>
        <v>0</v>
      </c>
      <c r="CQ24" s="2">
        <f t="shared" si="210"/>
        <v>0</v>
      </c>
      <c r="CR24" s="2"/>
      <c r="CS24" s="2">
        <f t="shared" ca="1" si="52"/>
        <v>0.68465234279930265</v>
      </c>
      <c r="CT24" s="2">
        <f t="shared" ca="1" si="53"/>
        <v>0.116738777020415</v>
      </c>
      <c r="CU24" s="2">
        <f t="shared" ca="1" si="54"/>
        <v>1.2525659085781904</v>
      </c>
      <c r="CV24" s="2">
        <f t="shared" ca="1" si="211"/>
        <v>2.0539570283979081</v>
      </c>
      <c r="CW24" s="2">
        <f t="shared" ca="1" si="212"/>
        <v>0.33333333333333331</v>
      </c>
      <c r="CX24" s="2">
        <f t="shared" ca="1" si="213"/>
        <v>5.6836036687423576E-2</v>
      </c>
      <c r="CY24" s="2">
        <f t="shared" ca="1" si="214"/>
        <v>0.60983062997924309</v>
      </c>
      <c r="CZ24" s="2">
        <f t="shared" si="215"/>
        <v>0.35531359382922667</v>
      </c>
      <c r="DA24" s="2">
        <f t="shared" si="216"/>
        <v>0.43431875674513665</v>
      </c>
      <c r="DB24" s="2">
        <f t="shared" si="217"/>
        <v>-0.67437209909709006</v>
      </c>
      <c r="DC24" s="2"/>
      <c r="DD24" s="2">
        <f t="shared" si="218"/>
        <v>1376.2780776127406</v>
      </c>
      <c r="DE24" s="2">
        <f t="shared" si="219"/>
        <v>14097.179471759839</v>
      </c>
      <c r="DF24" s="2">
        <f t="shared" si="64"/>
        <v>8.5467075910112111</v>
      </c>
      <c r="DG24" s="2">
        <f t="shared" si="220"/>
        <v>1591.596021874976</v>
      </c>
      <c r="DH24" s="2">
        <f t="shared" si="221"/>
        <v>1318.4460218749759</v>
      </c>
      <c r="DI24" s="2">
        <f t="shared" si="143"/>
        <v>13602.905801982104</v>
      </c>
      <c r="DJ24" s="2">
        <f t="shared" si="67"/>
        <v>8.5467075910112111</v>
      </c>
      <c r="DK24" s="2">
        <f t="shared" si="222"/>
        <v>1591.596021874976</v>
      </c>
      <c r="DL24" s="2">
        <f t="shared" si="69"/>
        <v>1</v>
      </c>
      <c r="DM24" s="2">
        <f t="shared" si="223"/>
        <v>-0.67437209909709006</v>
      </c>
      <c r="DN24" s="2">
        <f t="shared" si="224"/>
        <v>0.35531359382922667</v>
      </c>
      <c r="DO24" s="2">
        <f t="shared" si="225"/>
        <v>0.43431875674513665</v>
      </c>
      <c r="DP24" s="2">
        <f t="shared" si="226"/>
        <v>3.2242804338271016</v>
      </c>
      <c r="DQ24" s="2">
        <f t="shared" si="74"/>
        <v>14097.299999999996</v>
      </c>
      <c r="DR24" s="2">
        <f t="shared" si="227"/>
        <v>8.5464843638390757</v>
      </c>
      <c r="DS24" s="2">
        <f t="shared" si="228"/>
        <v>1376.3352619922771</v>
      </c>
      <c r="DT24" s="2">
        <f t="shared" si="229"/>
        <v>1318.5043985683387</v>
      </c>
      <c r="DU24" s="2">
        <f t="shared" si="230"/>
        <v>1370.5043985683387</v>
      </c>
      <c r="DV24" s="9">
        <f t="shared" ca="1" si="231"/>
        <v>3.2611113999508428</v>
      </c>
      <c r="DW24" s="2">
        <f t="shared" ca="1" si="80"/>
        <v>3.2252415268965939</v>
      </c>
      <c r="DX24" s="2">
        <f t="shared" si="232"/>
        <v>4485.09</v>
      </c>
      <c r="DY24" s="2">
        <f t="shared" ca="1" si="233"/>
        <v>1390.6214348900758</v>
      </c>
      <c r="DZ24" s="2">
        <f t="shared" ca="1" si="234"/>
        <v>4.948360618131125</v>
      </c>
      <c r="EA24" s="2"/>
      <c r="EB24" s="2">
        <f t="shared" si="83"/>
        <v>0.80141315010901504</v>
      </c>
      <c r="EC24" s="2">
        <f t="shared" si="84"/>
        <v>1.1493959285841996E-2</v>
      </c>
      <c r="ED24" s="2">
        <f t="shared" si="85"/>
        <v>0.15212047941970042</v>
      </c>
      <c r="EE24" s="2">
        <f t="shared" si="86"/>
        <v>0.11626226502322257</v>
      </c>
      <c r="EF24" s="2">
        <f t="shared" si="87"/>
        <v>1.4384101540249594E-3</v>
      </c>
      <c r="EG24" s="2">
        <f t="shared" si="88"/>
        <v>0.34505750533096674</v>
      </c>
      <c r="EH24" s="2">
        <f t="shared" si="89"/>
        <v>0.19287315496812132</v>
      </c>
      <c r="EI24" s="2">
        <f t="shared" si="90"/>
        <v>3.6219715378891154E-2</v>
      </c>
      <c r="EJ24" s="2">
        <f t="shared" si="91"/>
        <v>0</v>
      </c>
      <c r="EK24" s="2">
        <f t="shared" si="92"/>
        <v>0</v>
      </c>
      <c r="EL24" s="2">
        <f t="shared" si="93"/>
        <v>0</v>
      </c>
      <c r="EM24" s="2">
        <f t="shared" si="235"/>
        <v>1.6568786396697843</v>
      </c>
      <c r="EN24" s="2">
        <f t="shared" si="236"/>
        <v>0.48368850374505196</v>
      </c>
      <c r="EO24" s="2">
        <f t="shared" si="237"/>
        <v>6.9371159785925783E-3</v>
      </c>
      <c r="EP24" s="2">
        <f t="shared" si="238"/>
        <v>9.1811479596368026E-2</v>
      </c>
      <c r="EQ24" s="2">
        <f t="shared" si="239"/>
        <v>7.0169451304166505E-2</v>
      </c>
      <c r="ER24" s="2">
        <f t="shared" si="240"/>
        <v>8.6814454576566601E-4</v>
      </c>
      <c r="ES24" s="2">
        <f t="shared" si="241"/>
        <v>0.2082575615796077</v>
      </c>
      <c r="ET24" s="2">
        <f t="shared" si="242"/>
        <v>0.1164075330264146</v>
      </c>
      <c r="EU24" s="2">
        <f t="shared" si="243"/>
        <v>2.1860210224032908E-2</v>
      </c>
      <c r="EV24" s="2">
        <f t="shared" si="244"/>
        <v>0</v>
      </c>
      <c r="EW24" s="2">
        <f t="shared" si="245"/>
        <v>0</v>
      </c>
      <c r="EX24" s="2">
        <f t="shared" si="246"/>
        <v>0</v>
      </c>
      <c r="EY24" s="2">
        <f t="shared" si="247"/>
        <v>1</v>
      </c>
      <c r="EZ24" s="2">
        <f t="shared" si="97"/>
        <v>0.16488069228225463</v>
      </c>
      <c r="FA24" s="2">
        <f t="shared" si="98"/>
        <v>0.60542849843396396</v>
      </c>
      <c r="FB24" s="2">
        <f t="shared" si="99"/>
        <v>1.5033591984244319</v>
      </c>
      <c r="FC24" s="2">
        <f t="shared" si="248"/>
        <v>0.58500440311300794</v>
      </c>
      <c r="FD24" s="2">
        <f t="shared" si="249"/>
        <v>0.96626505793204953</v>
      </c>
      <c r="FE24" s="2">
        <f t="shared" ca="1" si="102"/>
        <v>0.10833552215413701</v>
      </c>
      <c r="FF24" s="2">
        <f t="shared" ca="1" si="103"/>
        <v>0.10833552215413701</v>
      </c>
      <c r="FG24" s="2">
        <f t="shared" ca="1" si="104"/>
        <v>0.11405245736585454</v>
      </c>
      <c r="FH24" s="2">
        <f t="shared" ca="1" si="105"/>
        <v>-5.3131646232451857</v>
      </c>
      <c r="FI24" s="2">
        <f t="shared" ca="1" si="106"/>
        <v>6.2480685982200888E-3</v>
      </c>
      <c r="FJ24" s="2">
        <f t="shared" ca="1" si="107"/>
        <v>5.7673314107726331E-2</v>
      </c>
      <c r="FK24" s="2">
        <f t="shared" ca="1" si="108"/>
        <v>0.27693262933783253</v>
      </c>
      <c r="FL24" s="2">
        <f t="shared" ca="1" si="109"/>
        <v>9.31997080719906E-2</v>
      </c>
      <c r="FM24" s="2">
        <f t="shared" ca="1" si="250"/>
        <v>0.33654289238085938</v>
      </c>
      <c r="FN24" s="2">
        <f t="shared" ca="1" si="251"/>
        <v>9.31997080719906E-2</v>
      </c>
      <c r="FO24" s="2">
        <f t="shared" ca="1" si="110"/>
        <v>9.319970807199067E-2</v>
      </c>
      <c r="FP24" s="2">
        <f t="shared" ca="1" si="252"/>
        <v>1.8294918899377293</v>
      </c>
      <c r="FQ24" s="2">
        <f t="shared" ca="1" si="253"/>
        <v>0.17050811006227073</v>
      </c>
      <c r="FR24" s="2">
        <f t="shared" si="148"/>
        <v>0.33333333333333331</v>
      </c>
      <c r="FS24" s="2">
        <f t="shared" ca="1" si="254"/>
        <v>5.6836036687423576E-2</v>
      </c>
      <c r="FT24" s="2">
        <f t="shared" ca="1" si="255"/>
        <v>0.60983062997924309</v>
      </c>
      <c r="FU24" s="2">
        <f t="shared" si="256"/>
        <v>20.026666666666664</v>
      </c>
      <c r="FV24" s="2">
        <f t="shared" ca="1" si="257"/>
        <v>4.0836692359913833</v>
      </c>
      <c r="FW24" s="2">
        <f t="shared" ca="1" si="258"/>
        <v>24.576174388163494</v>
      </c>
      <c r="FX24" s="2">
        <f t="shared" ca="1" si="259"/>
        <v>48.686510290821545</v>
      </c>
      <c r="FY24" s="2">
        <f t="shared" ca="1" si="260"/>
        <v>41.133912755382099</v>
      </c>
      <c r="FZ24" s="2">
        <f t="shared" ca="1" si="261"/>
        <v>8.3876811289168174</v>
      </c>
      <c r="GA24" s="2">
        <f t="shared" ca="1" si="262"/>
        <v>50.47840611570107</v>
      </c>
      <c r="GB24" s="2">
        <f t="shared" ca="1" si="263"/>
        <v>91.474594496886482</v>
      </c>
      <c r="GC24" s="2">
        <f t="shared" si="120"/>
        <v>1000000000</v>
      </c>
      <c r="GD24" s="2">
        <f t="shared" si="149"/>
        <v>38</v>
      </c>
      <c r="GE24">
        <f t="shared" si="150"/>
        <v>1248.4191566</v>
      </c>
      <c r="GF24">
        <f t="shared" si="151"/>
        <v>1247.796</v>
      </c>
      <c r="GG24">
        <f t="shared" si="152"/>
        <v>1706.3210000000001</v>
      </c>
      <c r="GH24" s="2">
        <f t="shared" si="153"/>
        <v>0.26748818902998933</v>
      </c>
      <c r="GI24" s="2">
        <f t="shared" si="154"/>
        <v>1.8929999999999998</v>
      </c>
      <c r="GJ24" s="2">
        <f t="shared" si="155"/>
        <v>-2.9020000000000001</v>
      </c>
      <c r="GK24" s="2">
        <f t="shared" si="156"/>
        <v>2.0169999999999999</v>
      </c>
      <c r="GL24" s="2">
        <f t="shared" si="157"/>
        <v>-0.26748818902998933</v>
      </c>
      <c r="GM24">
        <f t="shared" si="158"/>
        <v>0.47959015038836555</v>
      </c>
      <c r="GN24">
        <f t="shared" si="159"/>
        <v>0.11030895376604709</v>
      </c>
      <c r="GO24">
        <f t="shared" si="160"/>
        <v>-0.22505308742815469</v>
      </c>
      <c r="GP24">
        <f t="shared" si="161"/>
        <v>-6.6308425639561061E-2</v>
      </c>
      <c r="GQ24">
        <f t="shared" si="162"/>
        <v>0.31284085275161128</v>
      </c>
      <c r="GR24">
        <f t="shared" si="163"/>
        <v>0.2300067123495351</v>
      </c>
      <c r="GS24">
        <f t="shared" si="164"/>
        <v>-4.8435708022546542E-2</v>
      </c>
      <c r="GT24">
        <f t="shared" si="165"/>
        <v>5.6836602496915896E-4</v>
      </c>
      <c r="GU24">
        <f t="shared" si="166"/>
        <v>0.1770435317785897</v>
      </c>
      <c r="GV24">
        <f t="shared" si="167"/>
        <v>-0.46787442370765858</v>
      </c>
      <c r="GW24">
        <f t="shared" si="168"/>
        <v>0.1887592584592967</v>
      </c>
      <c r="GX24" s="2"/>
      <c r="GY24" s="15">
        <f t="shared" si="169"/>
        <v>0.12682512085561906</v>
      </c>
      <c r="GZ24" s="2">
        <f t="shared" si="170"/>
        <v>9.8748595574960601E-2</v>
      </c>
      <c r="HA24" s="2">
        <f t="shared" si="171"/>
        <v>5.7943255020377407E-2</v>
      </c>
      <c r="HB24" s="2">
        <f t="shared" si="172"/>
        <v>0.28351697145095706</v>
      </c>
      <c r="HC24" s="2">
        <f t="shared" si="173"/>
        <v>0.44732814478994021</v>
      </c>
      <c r="HD24" s="2">
        <f t="shared" si="174"/>
        <v>0.34829871054841666</v>
      </c>
      <c r="HE24" s="2">
        <f t="shared" si="175"/>
        <v>0.20437314466164319</v>
      </c>
      <c r="HF24" s="2">
        <f t="shared" si="176"/>
        <v>-1.3335469825256694</v>
      </c>
      <c r="HG24" s="2">
        <f t="shared" si="177"/>
        <v>-1.3295094764426985</v>
      </c>
      <c r="HH24" s="2">
        <f t="shared" si="178"/>
        <v>-1.3315282294841839</v>
      </c>
      <c r="HI24" s="2">
        <f t="shared" si="179"/>
        <v>2.3957221250156064</v>
      </c>
      <c r="HJ24" s="2">
        <f t="shared" si="180"/>
        <v>0.18584822769068862</v>
      </c>
      <c r="HK24" s="2">
        <f t="shared" si="181"/>
        <v>0.32989056201970296</v>
      </c>
      <c r="HL24" s="2">
        <f t="shared" si="182"/>
        <v>0.96008308043719948</v>
      </c>
    </row>
    <row r="25" spans="1:220" ht="20.25">
      <c r="A25" s="100" t="s">
        <v>146</v>
      </c>
      <c r="B25" s="80">
        <v>0</v>
      </c>
      <c r="C25" s="94">
        <f t="shared" si="126"/>
        <v>-5.8171788251085044</v>
      </c>
      <c r="D25" s="59">
        <f t="shared" si="183"/>
        <v>-6.2027055707151133</v>
      </c>
      <c r="E25" s="60">
        <f t="shared" si="184"/>
        <v>-5.8171788251085044</v>
      </c>
      <c r="F25" s="83">
        <v>48.225655696977263</v>
      </c>
      <c r="G25" s="83">
        <v>0.92783505154639179</v>
      </c>
      <c r="H25" s="83">
        <v>15.670103092783505</v>
      </c>
      <c r="I25" s="83">
        <v>8.3294456707425315</v>
      </c>
      <c r="J25" s="83">
        <v>0.10309278350515465</v>
      </c>
      <c r="K25" s="83">
        <v>13.54799141578536</v>
      </c>
      <c r="L25" s="83">
        <v>10.927835051546392</v>
      </c>
      <c r="M25" s="83">
        <v>2.2680412371134024</v>
      </c>
      <c r="N25" s="83">
        <v>0</v>
      </c>
      <c r="O25" s="84"/>
      <c r="P25" s="84"/>
      <c r="Q25" s="84"/>
      <c r="R25" s="3">
        <f t="shared" si="185"/>
        <v>100.00000000000001</v>
      </c>
      <c r="S25" s="135">
        <v>1</v>
      </c>
      <c r="T25" s="288">
        <f t="shared" si="186"/>
        <v>0.33669686323011455</v>
      </c>
      <c r="U25" s="54">
        <f t="shared" si="187"/>
        <v>1363.1578624132053</v>
      </c>
      <c r="V25" s="54">
        <f t="shared" ca="1" si="188"/>
        <v>1353.6252835117011</v>
      </c>
      <c r="W25" s="54">
        <f t="shared" si="5"/>
        <v>1363.1578624132053</v>
      </c>
      <c r="X25" s="101">
        <f t="shared" ca="1" si="6"/>
        <v>1464.4639129353061</v>
      </c>
      <c r="Y25" s="101">
        <f t="shared" ca="1" si="7"/>
        <v>1382.6211408099309</v>
      </c>
      <c r="Z25" s="50">
        <f t="shared" ca="1" si="8"/>
        <v>1431.885269547385</v>
      </c>
      <c r="AA25" s="50">
        <f t="shared" ca="1" si="9"/>
        <v>1406.3600072680019</v>
      </c>
      <c r="AB25" s="103">
        <f t="shared" ca="1" si="128"/>
        <v>48.469570902803945</v>
      </c>
      <c r="AC25" s="283">
        <v>13.3</v>
      </c>
      <c r="AD25" s="283">
        <f t="shared" ca="1" si="10"/>
        <v>10.651657088969996</v>
      </c>
      <c r="AE25" s="3">
        <f t="shared" ca="1" si="11"/>
        <v>99.057904223937371</v>
      </c>
      <c r="AF25" s="3">
        <f t="shared" ca="1" si="12"/>
        <v>212.20017500830056</v>
      </c>
      <c r="AG25" s="3">
        <f t="shared" ca="1" si="13"/>
        <v>466.81348976296817</v>
      </c>
      <c r="AH25" s="3">
        <f t="shared" ca="1" si="14"/>
        <v>63.386380845270956</v>
      </c>
      <c r="AI25" s="85">
        <f t="shared" si="189"/>
        <v>0.29603266945479056</v>
      </c>
      <c r="AJ25" s="85">
        <f t="shared" ca="1" si="15"/>
        <v>1.5573889424232423</v>
      </c>
      <c r="AK25" s="85">
        <f t="shared" si="16"/>
        <v>0.2702002857515311</v>
      </c>
      <c r="AL25" s="86">
        <f t="shared" ca="1" si="130"/>
        <v>0.27644779786080592</v>
      </c>
      <c r="AM25" s="85">
        <f t="shared" si="17"/>
        <v>0.33669686323011455</v>
      </c>
      <c r="AN25" s="85">
        <f t="shared" ca="1" si="190"/>
        <v>0.33669686323011438</v>
      </c>
      <c r="AO25" s="123">
        <f t="shared" ca="1" si="191"/>
        <v>41.102312221434318</v>
      </c>
      <c r="AP25" s="123">
        <f t="shared" ca="1" si="192"/>
        <v>8.5561905805873764</v>
      </c>
      <c r="AQ25" s="123">
        <f t="shared" ca="1" si="193"/>
        <v>50.341497197978306</v>
      </c>
      <c r="AR25" s="2"/>
      <c r="AS25" s="53">
        <f t="shared" ca="1" si="132"/>
        <v>77.934123605953829</v>
      </c>
      <c r="AT25" s="53">
        <f t="shared" ca="1" si="194"/>
        <v>91.296631910398702</v>
      </c>
      <c r="AU25" s="63">
        <f t="shared" ca="1" si="22"/>
        <v>0.33669686323011438</v>
      </c>
      <c r="AV25" s="53">
        <f t="shared" si="195"/>
        <v>3.2987979623625634</v>
      </c>
      <c r="AW25" s="53">
        <f t="shared" ca="1" si="196"/>
        <v>3.3372358354019065</v>
      </c>
      <c r="AX25" s="54">
        <f t="shared" si="197"/>
        <v>1368.7250964007103</v>
      </c>
      <c r="AY25" s="54">
        <f t="shared" si="198"/>
        <v>1363.1578624132053</v>
      </c>
      <c r="AZ25" s="54">
        <f t="shared" ca="1" si="26"/>
        <v>1353.6252835117011</v>
      </c>
      <c r="BA25" s="34"/>
      <c r="BB25" s="63">
        <f t="shared" ca="1" si="27"/>
        <v>0.13578523807753795</v>
      </c>
      <c r="BC25" s="63">
        <f t="shared" ca="1" si="28"/>
        <v>5.0759581782883027E-2</v>
      </c>
      <c r="BD25" s="53">
        <f t="shared" si="29"/>
        <v>6.2725578078347444E-2</v>
      </c>
      <c r="BE25" s="53">
        <f t="shared" ca="1" si="30"/>
        <v>0.15121609752877602</v>
      </c>
      <c r="BF25" s="53">
        <f t="shared" ca="1" si="31"/>
        <v>0.18409999914519481</v>
      </c>
      <c r="BH25" s="53">
        <f t="shared" si="32"/>
        <v>7.5852325378721511E-2</v>
      </c>
      <c r="BI25" s="53">
        <f t="shared" si="33"/>
        <v>0.1203543786262999</v>
      </c>
      <c r="BK25" s="53">
        <f t="shared" si="134"/>
        <v>0.1734816130635129</v>
      </c>
      <c r="BL25" s="53">
        <f t="shared" si="135"/>
        <v>5.9993909219505183E-2</v>
      </c>
      <c r="BM25" s="53">
        <f t="shared" si="136"/>
        <v>7.3545773204859846E-2</v>
      </c>
      <c r="BN25" s="53">
        <f t="shared" si="137"/>
        <v>0.19817330351895351</v>
      </c>
      <c r="BO25" s="53">
        <f t="shared" si="138"/>
        <v>0.15025001286411749</v>
      </c>
      <c r="BP25" s="53">
        <f t="shared" si="139"/>
        <v>0.22127775989270004</v>
      </c>
      <c r="BQ25" s="54">
        <f t="shared" si="140"/>
        <v>1321.2032991208116</v>
      </c>
      <c r="BR25" s="262">
        <f t="shared" si="141"/>
        <v>2.2410730597002129</v>
      </c>
      <c r="BS25" s="54">
        <f t="shared" si="142"/>
        <v>1434.4286780499096</v>
      </c>
      <c r="BU25" s="2">
        <f t="shared" si="37"/>
        <v>0.80269067405088657</v>
      </c>
      <c r="BV25" s="2">
        <f t="shared" si="38"/>
        <v>1.1612453711469232E-2</v>
      </c>
      <c r="BW25" s="2">
        <f t="shared" si="39"/>
        <v>0.30737746356970391</v>
      </c>
      <c r="BX25" s="2">
        <f t="shared" si="40"/>
        <v>0.11592826264081464</v>
      </c>
      <c r="BY25" s="2">
        <f t="shared" si="41"/>
        <v>1.4532391246850106E-3</v>
      </c>
      <c r="BZ25" s="2">
        <f t="shared" si="42"/>
        <v>0.33617844704182037</v>
      </c>
      <c r="CA25" s="2">
        <f t="shared" si="43"/>
        <v>0.19486153800902983</v>
      </c>
      <c r="CB25" s="2">
        <f t="shared" si="44"/>
        <v>7.318622901301719E-2</v>
      </c>
      <c r="CC25" s="2">
        <f t="shared" si="45"/>
        <v>0</v>
      </c>
      <c r="CD25" s="2">
        <f t="shared" si="46"/>
        <v>0</v>
      </c>
      <c r="CE25" s="2">
        <f t="shared" si="47"/>
        <v>0</v>
      </c>
      <c r="CF25" s="2">
        <f t="shared" si="199"/>
        <v>1.8432883071614268</v>
      </c>
      <c r="CG25" s="2">
        <f t="shared" si="200"/>
        <v>0.43546669879710281</v>
      </c>
      <c r="CH25" s="2">
        <f t="shared" si="201"/>
        <v>6.2998575243781805E-3</v>
      </c>
      <c r="CI25" s="2">
        <f t="shared" si="202"/>
        <v>0.1667549576349508</v>
      </c>
      <c r="CJ25" s="2">
        <f t="shared" si="203"/>
        <v>6.2892094628071757E-2</v>
      </c>
      <c r="CK25" s="2">
        <f t="shared" si="204"/>
        <v>7.8839491306866006E-4</v>
      </c>
      <c r="CL25" s="2">
        <f t="shared" si="205"/>
        <v>0.18237974262394072</v>
      </c>
      <c r="CM25" s="2">
        <f t="shared" si="206"/>
        <v>0.10571408566525711</v>
      </c>
      <c r="CN25" s="2">
        <f t="shared" si="207"/>
        <v>3.9704168213229966E-2</v>
      </c>
      <c r="CO25" s="2">
        <f t="shared" si="208"/>
        <v>0</v>
      </c>
      <c r="CP25" s="2">
        <f t="shared" si="209"/>
        <v>0</v>
      </c>
      <c r="CQ25" s="2">
        <f t="shared" si="210"/>
        <v>0</v>
      </c>
      <c r="CR25" s="2"/>
      <c r="CS25" s="2">
        <f t="shared" ca="1" si="52"/>
        <v>0.68412636853252862</v>
      </c>
      <c r="CT25" s="2">
        <f t="shared" ca="1" si="53"/>
        <v>0.11908407210281666</v>
      </c>
      <c r="CU25" s="2">
        <f t="shared" ca="1" si="54"/>
        <v>1.2491686649622409</v>
      </c>
      <c r="CV25" s="2">
        <f t="shared" ca="1" si="211"/>
        <v>2.052379105597586</v>
      </c>
      <c r="CW25" s="2">
        <f t="shared" ca="1" si="212"/>
        <v>0.33333333333333331</v>
      </c>
      <c r="CX25" s="2">
        <f t="shared" ca="1" si="213"/>
        <v>5.8022453930675372E-2</v>
      </c>
      <c r="CY25" s="2">
        <f t="shared" ca="1" si="214"/>
        <v>0.60864421273599145</v>
      </c>
      <c r="CZ25" s="2">
        <f t="shared" si="215"/>
        <v>0.35177431783033825</v>
      </c>
      <c r="DA25" s="2">
        <f t="shared" si="216"/>
        <v>0.43546669879710281</v>
      </c>
      <c r="DB25" s="2">
        <f t="shared" si="217"/>
        <v>-0.68273478805261079</v>
      </c>
      <c r="DC25" s="2"/>
      <c r="DD25" s="2">
        <f t="shared" si="218"/>
        <v>1368.7250964007103</v>
      </c>
      <c r="DE25" s="2">
        <f t="shared" si="219"/>
        <v>14097.179471759839</v>
      </c>
      <c r="DF25" s="2">
        <f t="shared" si="64"/>
        <v>8.5860242978673753</v>
      </c>
      <c r="DG25" s="2">
        <f t="shared" si="220"/>
        <v>1584.3078624132054</v>
      </c>
      <c r="DH25" s="2">
        <f t="shared" si="221"/>
        <v>1311.1578624132053</v>
      </c>
      <c r="DI25" s="2">
        <f t="shared" si="143"/>
        <v>13602.905801982104</v>
      </c>
      <c r="DJ25" s="2">
        <f t="shared" si="67"/>
        <v>8.5860242978673753</v>
      </c>
      <c r="DK25" s="2">
        <f t="shared" si="222"/>
        <v>1584.3078624132054</v>
      </c>
      <c r="DL25" s="2">
        <f t="shared" si="69"/>
        <v>1</v>
      </c>
      <c r="DM25" s="2">
        <f t="shared" si="223"/>
        <v>-0.68273478805261079</v>
      </c>
      <c r="DN25" s="2">
        <f t="shared" si="224"/>
        <v>0.35177431783033819</v>
      </c>
      <c r="DO25" s="2">
        <f t="shared" si="225"/>
        <v>0.43546669879710281</v>
      </c>
      <c r="DP25" s="2">
        <f t="shared" si="226"/>
        <v>3.2987979623625634</v>
      </c>
      <c r="DQ25" s="2">
        <f t="shared" si="74"/>
        <v>14097.299999999996</v>
      </c>
      <c r="DR25" s="2">
        <f t="shared" si="227"/>
        <v>8.5858010706952381</v>
      </c>
      <c r="DS25" s="2">
        <f t="shared" si="228"/>
        <v>1368.7818225432006</v>
      </c>
      <c r="DT25" s="2">
        <f t="shared" si="229"/>
        <v>1311.215782294847</v>
      </c>
      <c r="DU25" s="2">
        <f t="shared" si="230"/>
        <v>1363.215782294847</v>
      </c>
      <c r="DV25" s="9">
        <f t="shared" ca="1" si="231"/>
        <v>3.3372358354019065</v>
      </c>
      <c r="DW25" s="2">
        <f t="shared" ca="1" si="80"/>
        <v>3.2471325608740793</v>
      </c>
      <c r="DX25" s="2">
        <f t="shared" si="232"/>
        <v>4485.09</v>
      </c>
      <c r="DY25" s="2">
        <f t="shared" ca="1" si="233"/>
        <v>1381.2463507164862</v>
      </c>
      <c r="DZ25" s="2">
        <f t="shared" ca="1" si="234"/>
        <v>5.0571917861118534</v>
      </c>
      <c r="EA25" s="2"/>
      <c r="EB25" s="2">
        <f t="shared" si="83"/>
        <v>0.80269067405088657</v>
      </c>
      <c r="EC25" s="2">
        <f t="shared" si="84"/>
        <v>1.1612453711469232E-2</v>
      </c>
      <c r="ED25" s="2">
        <f t="shared" si="85"/>
        <v>0.15368873178485196</v>
      </c>
      <c r="EE25" s="2">
        <f t="shared" si="86"/>
        <v>0.11592826264081464</v>
      </c>
      <c r="EF25" s="2">
        <f t="shared" si="87"/>
        <v>1.4532391246850106E-3</v>
      </c>
      <c r="EG25" s="2">
        <f t="shared" si="88"/>
        <v>0.33617844704182037</v>
      </c>
      <c r="EH25" s="2">
        <f t="shared" si="89"/>
        <v>0.19486153800902983</v>
      </c>
      <c r="EI25" s="2">
        <f t="shared" si="90"/>
        <v>3.6593114506508595E-2</v>
      </c>
      <c r="EJ25" s="2">
        <f t="shared" si="91"/>
        <v>0</v>
      </c>
      <c r="EK25" s="2">
        <f t="shared" si="92"/>
        <v>0</v>
      </c>
      <c r="EL25" s="2">
        <f t="shared" si="93"/>
        <v>0</v>
      </c>
      <c r="EM25" s="2">
        <f t="shared" si="235"/>
        <v>1.6530064608700661</v>
      </c>
      <c r="EN25" s="2">
        <f t="shared" si="236"/>
        <v>0.48559439606085225</v>
      </c>
      <c r="EO25" s="2">
        <f t="shared" si="237"/>
        <v>7.0250504074599769E-3</v>
      </c>
      <c r="EP25" s="2">
        <f t="shared" si="238"/>
        <v>9.2975275912689004E-2</v>
      </c>
      <c r="EQ25" s="2">
        <f t="shared" si="239"/>
        <v>7.0131766199991355E-2</v>
      </c>
      <c r="ER25" s="2">
        <f t="shared" si="240"/>
        <v>8.7914908930246578E-4</v>
      </c>
      <c r="ES25" s="2">
        <f t="shared" si="241"/>
        <v>0.20337394620035035</v>
      </c>
      <c r="ET25" s="2">
        <f t="shared" si="242"/>
        <v>0.11788310730888719</v>
      </c>
      <c r="EU25" s="2">
        <f t="shared" si="243"/>
        <v>2.2137308820467449E-2</v>
      </c>
      <c r="EV25" s="2">
        <f t="shared" si="244"/>
        <v>0</v>
      </c>
      <c r="EW25" s="2">
        <f t="shared" si="245"/>
        <v>0</v>
      </c>
      <c r="EX25" s="2">
        <f t="shared" si="246"/>
        <v>0</v>
      </c>
      <c r="EY25" s="2">
        <f t="shared" si="247"/>
        <v>1</v>
      </c>
      <c r="EZ25" s="2">
        <f t="shared" si="97"/>
        <v>0.1667549576349508</v>
      </c>
      <c r="FA25" s="2">
        <f t="shared" si="98"/>
        <v>0.60852151395643173</v>
      </c>
      <c r="FB25" s="2">
        <f t="shared" si="99"/>
        <v>1.5052919510323415</v>
      </c>
      <c r="FC25" s="2">
        <f t="shared" si="248"/>
        <v>0.57649784623895606</v>
      </c>
      <c r="FD25" s="2">
        <f t="shared" si="249"/>
        <v>0.94737463346321649</v>
      </c>
      <c r="FE25" s="2">
        <f t="shared" ca="1" si="102"/>
        <v>0.10897005842608379</v>
      </c>
      <c r="FF25" s="2">
        <f t="shared" ca="1" si="103"/>
        <v>0.10897005842608379</v>
      </c>
      <c r="FG25" s="2">
        <f t="shared" ca="1" si="104"/>
        <v>0.11418305134106674</v>
      </c>
      <c r="FH25" s="2">
        <f t="shared" ca="1" si="105"/>
        <v>-5.3953448200490808</v>
      </c>
      <c r="FI25" s="2">
        <f t="shared" ca="1" si="106"/>
        <v>6.2747441804358577E-3</v>
      </c>
      <c r="FJ25" s="2">
        <f t="shared" ca="1" si="107"/>
        <v>5.7582277839119636E-2</v>
      </c>
      <c r="FK25" s="2">
        <f t="shared" ca="1" si="108"/>
        <v>0.28313497827491357</v>
      </c>
      <c r="FL25" s="2">
        <f t="shared" ca="1" si="109"/>
        <v>9.5330659055889985E-2</v>
      </c>
      <c r="FM25" s="2">
        <f t="shared" ca="1" si="250"/>
        <v>0.33669686323011438</v>
      </c>
      <c r="FN25" s="2">
        <f t="shared" ca="1" si="251"/>
        <v>9.5330659055889985E-2</v>
      </c>
      <c r="FO25" s="2">
        <f t="shared" ca="1" si="110"/>
        <v>9.5330659055890027E-2</v>
      </c>
      <c r="FP25" s="2">
        <f t="shared" ca="1" si="252"/>
        <v>1.8259326382079739</v>
      </c>
      <c r="FQ25" s="2">
        <f t="shared" ca="1" si="253"/>
        <v>0.17406736179202609</v>
      </c>
      <c r="FR25" s="2">
        <f t="shared" si="148"/>
        <v>0.33333333333333331</v>
      </c>
      <c r="FS25" s="2">
        <f t="shared" ca="1" si="254"/>
        <v>5.8022453930675365E-2</v>
      </c>
      <c r="FT25" s="2">
        <f t="shared" ca="1" si="255"/>
        <v>0.60864421273599134</v>
      </c>
      <c r="FU25" s="2">
        <f t="shared" si="256"/>
        <v>20.026666666666664</v>
      </c>
      <c r="FV25" s="2">
        <f t="shared" ca="1" si="257"/>
        <v>4.1689133149190249</v>
      </c>
      <c r="FW25" s="2">
        <f t="shared" ca="1" si="258"/>
        <v>24.52836177326045</v>
      </c>
      <c r="FX25" s="2">
        <f t="shared" ca="1" si="259"/>
        <v>48.723941754846138</v>
      </c>
      <c r="FY25" s="2">
        <f t="shared" ca="1" si="260"/>
        <v>41.102312221434318</v>
      </c>
      <c r="FZ25" s="2">
        <f t="shared" ca="1" si="261"/>
        <v>8.5561905805873764</v>
      </c>
      <c r="GA25" s="2">
        <f t="shared" ca="1" si="262"/>
        <v>50.341497197978306</v>
      </c>
      <c r="GB25" s="2">
        <f t="shared" ca="1" si="263"/>
        <v>91.296631910398702</v>
      </c>
      <c r="GC25" s="2">
        <f t="shared" si="120"/>
        <v>1000000000</v>
      </c>
      <c r="GD25" s="2">
        <f t="shared" si="149"/>
        <v>38</v>
      </c>
      <c r="GE25">
        <f t="shared" si="150"/>
        <v>1248.4191566</v>
      </c>
      <c r="GF25">
        <f t="shared" si="151"/>
        <v>1247.796</v>
      </c>
      <c r="GG25">
        <f t="shared" si="152"/>
        <v>1706.3210000000001</v>
      </c>
      <c r="GH25" s="2">
        <f t="shared" si="153"/>
        <v>0.25159339711728962</v>
      </c>
      <c r="GI25" s="2">
        <f t="shared" si="154"/>
        <v>1.8929999999999998</v>
      </c>
      <c r="GJ25" s="2">
        <f t="shared" si="155"/>
        <v>-2.9020000000000001</v>
      </c>
      <c r="GK25" s="2">
        <f t="shared" si="156"/>
        <v>2.0169999999999999</v>
      </c>
      <c r="GL25" s="2">
        <f t="shared" si="157"/>
        <v>-0.25159339711728962</v>
      </c>
      <c r="GM25">
        <f t="shared" si="158"/>
        <v>0.47959015038836555</v>
      </c>
      <c r="GN25">
        <f t="shared" si="159"/>
        <v>0.11030895376604709</v>
      </c>
      <c r="GO25">
        <f t="shared" si="160"/>
        <v>-0.22505308742815469</v>
      </c>
      <c r="GP25">
        <f t="shared" si="161"/>
        <v>-6.2368219414300853E-2</v>
      </c>
      <c r="GQ25">
        <f t="shared" si="162"/>
        <v>0.31284085275161128</v>
      </c>
      <c r="GR25">
        <f t="shared" si="163"/>
        <v>0.2300067123495351</v>
      </c>
      <c r="GS25">
        <f t="shared" si="164"/>
        <v>-5.237591424780675E-2</v>
      </c>
      <c r="GT25">
        <f t="shared" si="165"/>
        <v>5.6836602496915896E-4</v>
      </c>
      <c r="GU25">
        <f t="shared" si="166"/>
        <v>0.17292080639372939</v>
      </c>
      <c r="GV25">
        <f t="shared" si="167"/>
        <v>-0.47902934371858208</v>
      </c>
      <c r="GW25">
        <f t="shared" si="168"/>
        <v>0.1734816130635129</v>
      </c>
      <c r="GX25" s="2"/>
      <c r="GY25" s="15">
        <f t="shared" si="169"/>
        <v>0.12420743624767923</v>
      </c>
      <c r="GZ25" s="2">
        <f t="shared" si="170"/>
        <v>0.10000032632014898</v>
      </c>
      <c r="HA25" s="2">
        <f t="shared" si="171"/>
        <v>5.8677739934952511E-2</v>
      </c>
      <c r="HB25" s="2">
        <f t="shared" si="172"/>
        <v>0.28288550250278072</v>
      </c>
      <c r="HC25" s="2">
        <f t="shared" si="173"/>
        <v>0.43907317677567548</v>
      </c>
      <c r="HD25" s="2">
        <f t="shared" si="174"/>
        <v>0.35350106469017795</v>
      </c>
      <c r="HE25" s="2">
        <f t="shared" si="175"/>
        <v>0.20742575853414658</v>
      </c>
      <c r="HF25" s="2">
        <f t="shared" si="176"/>
        <v>-1.3296309606547119</v>
      </c>
      <c r="HG25" s="2">
        <f t="shared" si="177"/>
        <v>-1.3262655684866891</v>
      </c>
      <c r="HH25" s="2">
        <f t="shared" si="178"/>
        <v>-1.3279482645707006</v>
      </c>
      <c r="HI25" s="2">
        <f t="shared" si="179"/>
        <v>2.4163822090873355</v>
      </c>
      <c r="HJ25" s="2">
        <f t="shared" si="180"/>
        <v>0.18319435427509562</v>
      </c>
      <c r="HK25" s="2">
        <f t="shared" si="181"/>
        <v>0.32867839548997474</v>
      </c>
      <c r="HL25" s="2">
        <f t="shared" si="182"/>
        <v>0.96284918793222096</v>
      </c>
    </row>
    <row r="26" spans="1:220" ht="20.25">
      <c r="A26" s="100" t="s">
        <v>147</v>
      </c>
      <c r="B26" s="80">
        <v>0</v>
      </c>
      <c r="C26" s="94">
        <f t="shared" si="126"/>
        <v>-6.3263773225853397</v>
      </c>
      <c r="D26" s="59">
        <f t="shared" si="183"/>
        <v>-6.7202444422933469</v>
      </c>
      <c r="E26" s="60">
        <f t="shared" si="184"/>
        <v>-6.3263773225853397</v>
      </c>
      <c r="F26" s="83">
        <v>49.491290322580646</v>
      </c>
      <c r="G26" s="83">
        <v>0.84096774193548396</v>
      </c>
      <c r="H26" s="83">
        <v>15.74258064516129</v>
      </c>
      <c r="I26" s="83">
        <v>8.5989999999999984</v>
      </c>
      <c r="J26" s="83">
        <v>0</v>
      </c>
      <c r="K26" s="83">
        <v>11.135806451612904</v>
      </c>
      <c r="L26" s="83">
        <v>11.933225806451613</v>
      </c>
      <c r="M26" s="83">
        <v>1.9638709677419353</v>
      </c>
      <c r="N26" s="83">
        <v>6.0322580645161314E-2</v>
      </c>
      <c r="O26" s="84"/>
      <c r="P26" s="84"/>
      <c r="Q26" s="84"/>
      <c r="R26" s="3">
        <f t="shared" si="185"/>
        <v>99.767064516129054</v>
      </c>
      <c r="S26" s="135">
        <v>1</v>
      </c>
      <c r="T26" s="288">
        <f t="shared" si="186"/>
        <v>0.3402408843002081</v>
      </c>
      <c r="U26" s="54">
        <f t="shared" si="187"/>
        <v>1307.6863897424423</v>
      </c>
      <c r="V26" s="54">
        <f t="shared" ca="1" si="188"/>
        <v>1304.0269270172023</v>
      </c>
      <c r="W26" s="54">
        <f t="shared" si="5"/>
        <v>1307.6863897424423</v>
      </c>
      <c r="X26" s="101">
        <f t="shared" ca="1" si="6"/>
        <v>1356.3189354334538</v>
      </c>
      <c r="Y26" s="101">
        <f t="shared" ca="1" si="7"/>
        <v>1290.7269270172023</v>
      </c>
      <c r="Z26" s="50">
        <f t="shared" ca="1" si="8"/>
        <v>1305.6548338234927</v>
      </c>
      <c r="AA26" s="50">
        <f t="shared" ca="1" si="9"/>
        <v>1303.5702072471563</v>
      </c>
      <c r="AB26" s="103">
        <f t="shared" ca="1" si="128"/>
        <v>34.443381486665828</v>
      </c>
      <c r="AC26" s="283">
        <v>13.3</v>
      </c>
      <c r="AD26" s="283">
        <f t="shared" ca="1" si="10"/>
        <v>10.281988227427245</v>
      </c>
      <c r="AE26" s="3">
        <f t="shared" ca="1" si="11"/>
        <v>93.988037993302441</v>
      </c>
      <c r="AF26" s="3">
        <f t="shared" ca="1" si="12"/>
        <v>211.77462126682173</v>
      </c>
      <c r="AG26" s="3">
        <f t="shared" ca="1" si="13"/>
        <v>443.81162119933083</v>
      </c>
      <c r="AH26" s="3">
        <f t="shared" ca="1" si="14"/>
        <v>9.8252684573813678</v>
      </c>
      <c r="AI26" s="85">
        <f t="shared" si="189"/>
        <v>0.27024645306402095</v>
      </c>
      <c r="AJ26" s="85">
        <f t="shared" ca="1" si="15"/>
        <v>1.1216485865810597</v>
      </c>
      <c r="AK26" s="85">
        <f t="shared" si="16"/>
        <v>0.28253492169379252</v>
      </c>
      <c r="AL26" s="86">
        <f t="shared" ca="1" si="130"/>
        <v>0.27834442701100398</v>
      </c>
      <c r="AM26" s="85">
        <f t="shared" si="17"/>
        <v>0.3402408843002081</v>
      </c>
      <c r="AN26" s="85">
        <f t="shared" ca="1" si="190"/>
        <v>0.3402408843002086</v>
      </c>
      <c r="AO26" s="123">
        <f t="shared" ca="1" si="191"/>
        <v>40.740864092308058</v>
      </c>
      <c r="AP26" s="123">
        <f t="shared" ca="1" si="192"/>
        <v>10.483608204196457</v>
      </c>
      <c r="AQ26" s="123">
        <f t="shared" ca="1" si="193"/>
        <v>48.775527703495491</v>
      </c>
      <c r="AR26" s="2"/>
      <c r="AS26" s="53">
        <f t="shared" ca="1" si="132"/>
        <v>73.837574593012988</v>
      </c>
      <c r="AT26" s="53">
        <f t="shared" ca="1" si="194"/>
        <v>89.241451005888621</v>
      </c>
      <c r="AU26" s="63">
        <f t="shared" ca="1" si="22"/>
        <v>0.3402408843002086</v>
      </c>
      <c r="AV26" s="53">
        <f t="shared" si="195"/>
        <v>3.8658985449551659</v>
      </c>
      <c r="AW26" s="53">
        <f t="shared" ca="1" si="196"/>
        <v>3.9111101492532754</v>
      </c>
      <c r="AX26" s="54">
        <f t="shared" si="197"/>
        <v>1311.2380184788281</v>
      </c>
      <c r="AY26" s="54">
        <f t="shared" si="198"/>
        <v>1307.6863897424423</v>
      </c>
      <c r="AZ26" s="54">
        <f t="shared" ca="1" si="26"/>
        <v>1304.0269270172023</v>
      </c>
      <c r="BA26" s="34"/>
      <c r="BB26" s="63">
        <f t="shared" ca="1" si="27"/>
        <v>2.2138375806451692E-2</v>
      </c>
      <c r="BC26" s="63">
        <f t="shared" ca="1" si="28"/>
        <v>4.2311982703660503E-2</v>
      </c>
      <c r="BD26" s="53">
        <f t="shared" si="29"/>
        <v>4.8165161290323333E-3</v>
      </c>
      <c r="BE26" s="53">
        <f t="shared" ca="1" si="30"/>
        <v>0</v>
      </c>
      <c r="BF26" s="53">
        <f t="shared" ca="1" si="31"/>
        <v>9.7274222773619246E-2</v>
      </c>
      <c r="BH26" s="53">
        <f t="shared" si="32"/>
        <v>0</v>
      </c>
      <c r="BI26" s="53">
        <f t="shared" si="33"/>
        <v>4.4276751612903384E-2</v>
      </c>
      <c r="BK26" s="53">
        <f t="shared" si="134"/>
        <v>7.7769850508213612E-2</v>
      </c>
      <c r="BL26" s="53">
        <f t="shared" si="135"/>
        <v>-0.25826725726994321</v>
      </c>
      <c r="BM26" s="53" t="e">
        <f t="shared" si="136"/>
        <v>#NUM!</v>
      </c>
      <c r="BN26" s="53">
        <f t="shared" si="137"/>
        <v>0.20185176496618923</v>
      </c>
      <c r="BO26" s="53">
        <f t="shared" si="138"/>
        <v>0.20557531333340867</v>
      </c>
      <c r="BP26" s="53">
        <f t="shared" si="139"/>
        <v>0.39291024370065086</v>
      </c>
      <c r="BQ26" s="54">
        <f t="shared" si="140"/>
        <v>1271.8726877669094</v>
      </c>
      <c r="BR26" s="262">
        <f t="shared" si="141"/>
        <v>1.7282075822301362</v>
      </c>
      <c r="BS26" s="54">
        <f t="shared" si="142"/>
        <v>1360.4607245013804</v>
      </c>
      <c r="BU26" s="2">
        <f t="shared" si="37"/>
        <v>0.82375649671405871</v>
      </c>
      <c r="BV26" s="2">
        <f t="shared" si="38"/>
        <v>1.0525253340869636E-2</v>
      </c>
      <c r="BW26" s="2">
        <f t="shared" si="39"/>
        <v>0.30879914957162202</v>
      </c>
      <c r="BX26" s="2">
        <f t="shared" si="40"/>
        <v>0.11967988865692414</v>
      </c>
      <c r="BY26" s="2">
        <f t="shared" si="41"/>
        <v>0</v>
      </c>
      <c r="BZ26" s="2">
        <f t="shared" si="42"/>
        <v>0.27632274073481156</v>
      </c>
      <c r="CA26" s="2">
        <f t="shared" si="43"/>
        <v>0.2127893332106208</v>
      </c>
      <c r="CB26" s="2">
        <f t="shared" si="44"/>
        <v>6.3371118675118923E-2</v>
      </c>
      <c r="CC26" s="2">
        <f t="shared" si="45"/>
        <v>1.280734196287926E-3</v>
      </c>
      <c r="CD26" s="2">
        <f t="shared" si="46"/>
        <v>0</v>
      </c>
      <c r="CE26" s="2">
        <f t="shared" si="47"/>
        <v>0</v>
      </c>
      <c r="CF26" s="2">
        <f t="shared" si="199"/>
        <v>1.8165247151003139</v>
      </c>
      <c r="CG26" s="2">
        <f t="shared" si="200"/>
        <v>0.45347937733319993</v>
      </c>
      <c r="CH26" s="2">
        <f t="shared" si="201"/>
        <v>5.7941701829740313E-3</v>
      </c>
      <c r="CI26" s="2">
        <f t="shared" si="202"/>
        <v>0.16999446635911541</v>
      </c>
      <c r="CJ26" s="2">
        <f t="shared" si="203"/>
        <v>6.5883985867109474E-2</v>
      </c>
      <c r="CK26" s="2">
        <f t="shared" si="204"/>
        <v>0</v>
      </c>
      <c r="CL26" s="2">
        <f t="shared" si="205"/>
        <v>0.15211614707898549</v>
      </c>
      <c r="CM26" s="2">
        <f t="shared" si="206"/>
        <v>0.11714089626293356</v>
      </c>
      <c r="CN26" s="2">
        <f t="shared" si="207"/>
        <v>3.4885910523721878E-2</v>
      </c>
      <c r="CO26" s="2">
        <f t="shared" si="208"/>
        <v>7.050463919601556E-4</v>
      </c>
      <c r="CP26" s="2">
        <f t="shared" si="209"/>
        <v>0</v>
      </c>
      <c r="CQ26" s="2">
        <f t="shared" si="210"/>
        <v>0</v>
      </c>
      <c r="CR26" s="2"/>
      <c r="CS26" s="2">
        <f t="shared" ca="1" si="52"/>
        <v>0.67811025453242446</v>
      </c>
      <c r="CT26" s="2">
        <f t="shared" ca="1" si="53"/>
        <v>0.14590964793592845</v>
      </c>
      <c r="CU26" s="2">
        <f t="shared" ca="1" si="54"/>
        <v>1.2103108611289204</v>
      </c>
      <c r="CV26" s="2">
        <f t="shared" ca="1" si="211"/>
        <v>2.0343307635972732</v>
      </c>
      <c r="CW26" s="2">
        <f t="shared" ca="1" si="212"/>
        <v>0.33333333333333337</v>
      </c>
      <c r="CX26" s="2">
        <f t="shared" ca="1" si="213"/>
        <v>7.1723659960742495E-2</v>
      </c>
      <c r="CY26" s="2">
        <f t="shared" ca="1" si="214"/>
        <v>0.59494300670592415</v>
      </c>
      <c r="CZ26" s="2">
        <f t="shared" si="215"/>
        <v>0.33514102920902855</v>
      </c>
      <c r="DA26" s="2">
        <f t="shared" si="216"/>
        <v>0.45347937733319993</v>
      </c>
      <c r="DB26" s="2">
        <f t="shared" si="217"/>
        <v>-0.69280733969850872</v>
      </c>
      <c r="DC26" s="2"/>
      <c r="DD26" s="2">
        <f t="shared" si="218"/>
        <v>1311.2380184788281</v>
      </c>
      <c r="DE26" s="2">
        <f t="shared" si="219"/>
        <v>14097.179471759839</v>
      </c>
      <c r="DF26" s="2">
        <f t="shared" si="64"/>
        <v>8.8975549596080317</v>
      </c>
      <c r="DG26" s="2">
        <f t="shared" si="220"/>
        <v>1528.8363897424422</v>
      </c>
      <c r="DH26" s="2">
        <f t="shared" si="221"/>
        <v>1255.6863897424423</v>
      </c>
      <c r="DI26" s="2">
        <f t="shared" si="143"/>
        <v>13602.905801982104</v>
      </c>
      <c r="DJ26" s="2">
        <f t="shared" si="67"/>
        <v>8.8975549596080317</v>
      </c>
      <c r="DK26" s="2">
        <f t="shared" si="222"/>
        <v>1528.8363897424422</v>
      </c>
      <c r="DL26" s="2">
        <f t="shared" si="69"/>
        <v>1</v>
      </c>
      <c r="DM26" s="2">
        <f t="shared" si="223"/>
        <v>-0.69280733969850872</v>
      </c>
      <c r="DN26" s="2">
        <f t="shared" si="224"/>
        <v>0.33514102920902855</v>
      </c>
      <c r="DO26" s="2">
        <f t="shared" si="225"/>
        <v>0.45347937733319993</v>
      </c>
      <c r="DP26" s="2">
        <f t="shared" si="226"/>
        <v>3.8658985449551659</v>
      </c>
      <c r="DQ26" s="2">
        <f t="shared" si="74"/>
        <v>14097.299999999996</v>
      </c>
      <c r="DR26" s="2">
        <f t="shared" si="227"/>
        <v>8.8973317324358963</v>
      </c>
      <c r="DS26" s="2">
        <f t="shared" si="228"/>
        <v>1311.2913161091005</v>
      </c>
      <c r="DT26" s="2">
        <f t="shared" si="229"/>
        <v>1255.7408898843291</v>
      </c>
      <c r="DU26" s="2">
        <f t="shared" si="230"/>
        <v>1307.7408898843291</v>
      </c>
      <c r="DV26" s="9">
        <f t="shared" ca="1" si="231"/>
        <v>3.9111101492532754</v>
      </c>
      <c r="DW26" s="2">
        <f t="shared" ca="1" si="80"/>
        <v>3.4182837593382418</v>
      </c>
      <c r="DX26" s="2">
        <f t="shared" si="232"/>
        <v>4485.09</v>
      </c>
      <c r="DY26" s="2">
        <f t="shared" ca="1" si="233"/>
        <v>1312.0882629323569</v>
      </c>
      <c r="DZ26" s="2">
        <f t="shared" ca="1" si="234"/>
        <v>5.8079287030286926</v>
      </c>
      <c r="EA26" s="2"/>
      <c r="EB26" s="2">
        <f t="shared" si="83"/>
        <v>0.82375649671405871</v>
      </c>
      <c r="EC26" s="2">
        <f t="shared" si="84"/>
        <v>1.0525253340869636E-2</v>
      </c>
      <c r="ED26" s="2">
        <f t="shared" si="85"/>
        <v>0.15439957478581101</v>
      </c>
      <c r="EE26" s="2">
        <f t="shared" si="86"/>
        <v>0.11967988865692414</v>
      </c>
      <c r="EF26" s="2">
        <f t="shared" si="87"/>
        <v>0</v>
      </c>
      <c r="EG26" s="2">
        <f t="shared" si="88"/>
        <v>0.27632274073481156</v>
      </c>
      <c r="EH26" s="2">
        <f t="shared" si="89"/>
        <v>0.2127893332106208</v>
      </c>
      <c r="EI26" s="2">
        <f t="shared" si="90"/>
        <v>3.1685559337559462E-2</v>
      </c>
      <c r="EJ26" s="2">
        <f t="shared" si="91"/>
        <v>6.4036709814396298E-4</v>
      </c>
      <c r="EK26" s="2">
        <f t="shared" si="92"/>
        <v>0</v>
      </c>
      <c r="EL26" s="2">
        <f t="shared" si="93"/>
        <v>0</v>
      </c>
      <c r="EM26" s="2">
        <f t="shared" si="235"/>
        <v>1.6297992138787993</v>
      </c>
      <c r="EN26" s="2">
        <f t="shared" si="236"/>
        <v>0.5054343441199608</v>
      </c>
      <c r="EO26" s="2">
        <f t="shared" si="237"/>
        <v>6.4580061465487684E-3</v>
      </c>
      <c r="EP26" s="2">
        <f t="shared" si="238"/>
        <v>9.473533516950941E-2</v>
      </c>
      <c r="EQ26" s="2">
        <f t="shared" si="239"/>
        <v>7.34322900868844E-2</v>
      </c>
      <c r="ER26" s="2">
        <f t="shared" si="240"/>
        <v>0</v>
      </c>
      <c r="ES26" s="2">
        <f t="shared" si="241"/>
        <v>0.16954403854275046</v>
      </c>
      <c r="ET26" s="2">
        <f t="shared" si="242"/>
        <v>0.13056168600314771</v>
      </c>
      <c r="EU26" s="2">
        <f t="shared" si="243"/>
        <v>1.9441388281290318E-2</v>
      </c>
      <c r="EV26" s="2">
        <f t="shared" si="244"/>
        <v>3.9291164990805068E-4</v>
      </c>
      <c r="EW26" s="2">
        <f t="shared" si="245"/>
        <v>0</v>
      </c>
      <c r="EX26" s="2">
        <f t="shared" si="246"/>
        <v>0</v>
      </c>
      <c r="EY26" s="2">
        <f t="shared" si="247"/>
        <v>0.99999999999999989</v>
      </c>
      <c r="EZ26" s="2">
        <f t="shared" si="97"/>
        <v>0.16999446635911541</v>
      </c>
      <c r="FA26" s="2">
        <f t="shared" si="98"/>
        <v>0.6292680138752893</v>
      </c>
      <c r="FB26" s="2">
        <f t="shared" si="99"/>
        <v>1.5264753022378903</v>
      </c>
      <c r="FC26" s="2">
        <f t="shared" si="248"/>
        <v>0.53587854897462339</v>
      </c>
      <c r="FD26" s="2">
        <f t="shared" si="249"/>
        <v>0.85159031948003294</v>
      </c>
      <c r="FE26" s="2">
        <f t="shared" ca="1" si="102"/>
        <v>0.11118680900831832</v>
      </c>
      <c r="FF26" s="2">
        <f t="shared" ca="1" si="103"/>
        <v>0.11118680900831832</v>
      </c>
      <c r="FG26" s="2">
        <f t="shared" ca="1" si="104"/>
        <v>0.11272557191194003</v>
      </c>
      <c r="FH26" s="2">
        <f t="shared" ca="1" si="105"/>
        <v>-6.0206329036817996</v>
      </c>
      <c r="FI26" s="2">
        <f t="shared" ca="1" si="106"/>
        <v>6.6793833674040565E-3</v>
      </c>
      <c r="FJ26" s="2">
        <f t="shared" ca="1" si="107"/>
        <v>6.0073523352076288E-2</v>
      </c>
      <c r="FK26" s="2">
        <f t="shared" ca="1" si="108"/>
        <v>0.35432400849015266</v>
      </c>
      <c r="FL26" s="2">
        <f t="shared" ca="1" si="109"/>
        <v>0.12055551397748417</v>
      </c>
      <c r="FM26" s="2">
        <f t="shared" ca="1" si="250"/>
        <v>0.3402408843002086</v>
      </c>
      <c r="FN26" s="2">
        <f t="shared" ca="1" si="251"/>
        <v>0.12055551397748414</v>
      </c>
      <c r="FO26" s="2">
        <f t="shared" ca="1" si="110"/>
        <v>0.12055551397748399</v>
      </c>
      <c r="FP26" s="2">
        <f t="shared" ca="1" si="252"/>
        <v>1.7848290201177726</v>
      </c>
      <c r="FQ26" s="2">
        <f t="shared" ca="1" si="253"/>
        <v>0.21517097988222744</v>
      </c>
      <c r="FR26" s="2">
        <f t="shared" si="148"/>
        <v>0.33333333333333331</v>
      </c>
      <c r="FS26" s="2">
        <f t="shared" ca="1" si="254"/>
        <v>7.1723659960742481E-2</v>
      </c>
      <c r="FT26" s="2">
        <f t="shared" ca="1" si="255"/>
        <v>0.59494300670592415</v>
      </c>
      <c r="FU26" s="2">
        <f t="shared" si="256"/>
        <v>20.026666666666664</v>
      </c>
      <c r="FV26" s="2">
        <f t="shared" ca="1" si="257"/>
        <v>5.1533449681793471</v>
      </c>
      <c r="FW26" s="2">
        <f t="shared" ca="1" si="258"/>
        <v>23.976203170248741</v>
      </c>
      <c r="FX26" s="2">
        <f t="shared" ca="1" si="259"/>
        <v>49.156214805094748</v>
      </c>
      <c r="FY26" s="2">
        <f t="shared" ca="1" si="260"/>
        <v>40.740864092308058</v>
      </c>
      <c r="FZ26" s="2">
        <f t="shared" ca="1" si="261"/>
        <v>10.483608204196457</v>
      </c>
      <c r="GA26" s="2">
        <f t="shared" ca="1" si="262"/>
        <v>48.775527703495491</v>
      </c>
      <c r="GB26" s="2">
        <f t="shared" ca="1" si="263"/>
        <v>89.241451005888621</v>
      </c>
      <c r="GC26" s="2">
        <f t="shared" si="120"/>
        <v>1000000000</v>
      </c>
      <c r="GD26" s="2">
        <f t="shared" si="149"/>
        <v>38</v>
      </c>
      <c r="GE26">
        <f t="shared" si="150"/>
        <v>1248.4191566</v>
      </c>
      <c r="GF26">
        <f t="shared" si="151"/>
        <v>1247.796</v>
      </c>
      <c r="GG26">
        <f t="shared" si="152"/>
        <v>1706.3210000000001</v>
      </c>
      <c r="GH26" s="2">
        <f t="shared" si="153"/>
        <v>0.13061532030411047</v>
      </c>
      <c r="GI26" s="2">
        <f t="shared" si="154"/>
        <v>1.8929999999999998</v>
      </c>
      <c r="GJ26" s="2">
        <f t="shared" si="155"/>
        <v>-2.9020000000000001</v>
      </c>
      <c r="GK26" s="2">
        <f t="shared" si="156"/>
        <v>2.0169999999999999</v>
      </c>
      <c r="GL26" s="2">
        <f t="shared" si="157"/>
        <v>-0.13061532030411047</v>
      </c>
      <c r="GM26">
        <f t="shared" si="158"/>
        <v>0.47959015038836555</v>
      </c>
      <c r="GN26">
        <f t="shared" si="159"/>
        <v>0.11030895376604709</v>
      </c>
      <c r="GO26">
        <f t="shared" si="160"/>
        <v>-0.22505308742815469</v>
      </c>
      <c r="GP26">
        <f t="shared" si="161"/>
        <v>-3.2378611875089357E-2</v>
      </c>
      <c r="GQ26">
        <f t="shared" si="162"/>
        <v>0.31284085275161128</v>
      </c>
      <c r="GR26">
        <f t="shared" si="163"/>
        <v>0.2300067123495351</v>
      </c>
      <c r="GS26">
        <f t="shared" si="164"/>
        <v>-8.2365521787018253E-2</v>
      </c>
      <c r="GT26">
        <f t="shared" si="165"/>
        <v>5.6836602496915896E-4</v>
      </c>
      <c r="GU26">
        <f t="shared" si="166"/>
        <v>0.15008704200171158</v>
      </c>
      <c r="GV26">
        <f t="shared" si="167"/>
        <v>-0.55190734188186352</v>
      </c>
      <c r="GW26">
        <f t="shared" si="168"/>
        <v>7.7769850508213612E-2</v>
      </c>
      <c r="GX26" s="2"/>
      <c r="GY26" s="15">
        <f t="shared" si="169"/>
        <v>0.10472003892690043</v>
      </c>
      <c r="GZ26" s="2">
        <f t="shared" si="170"/>
        <v>0.10119334131605817</v>
      </c>
      <c r="HA26" s="2">
        <f t="shared" si="171"/>
        <v>8.2411818371796119E-2</v>
      </c>
      <c r="HB26" s="2">
        <f t="shared" si="172"/>
        <v>0.2883251986147547</v>
      </c>
      <c r="HC26" s="2">
        <f t="shared" si="173"/>
        <v>0.36320113340777394</v>
      </c>
      <c r="HD26" s="2">
        <f t="shared" si="174"/>
        <v>0.35096946712336269</v>
      </c>
      <c r="HE26" s="2">
        <f t="shared" si="175"/>
        <v>0.28582939946886349</v>
      </c>
      <c r="HF26" s="2">
        <f t="shared" si="176"/>
        <v>-1.2074416437937632</v>
      </c>
      <c r="HG26" s="2">
        <f t="shared" si="177"/>
        <v>-1.211186135273435</v>
      </c>
      <c r="HH26" s="2">
        <f t="shared" si="178"/>
        <v>-1.2093138895335991</v>
      </c>
      <c r="HI26" s="2">
        <f t="shared" si="179"/>
        <v>2.9685478036034287</v>
      </c>
      <c r="HJ26" s="2">
        <f t="shared" si="180"/>
        <v>0.12229319068049532</v>
      </c>
      <c r="HK26" s="2">
        <f t="shared" si="181"/>
        <v>0.31877140311027463</v>
      </c>
      <c r="HL26" s="2">
        <f t="shared" si="182"/>
        <v>0.93266658913827205</v>
      </c>
    </row>
    <row r="27" spans="1:220" ht="20.25">
      <c r="A27" s="100" t="s">
        <v>148</v>
      </c>
      <c r="B27" s="80">
        <v>0</v>
      </c>
      <c r="C27" s="94">
        <f t="shared" si="126"/>
        <v>-5.6118355828643223</v>
      </c>
      <c r="D27" s="59">
        <f t="shared" si="183"/>
        <v>-5.9936989037756492</v>
      </c>
      <c r="E27" s="60">
        <f t="shared" si="184"/>
        <v>-5.6118355828643223</v>
      </c>
      <c r="F27" s="83">
        <v>48.61254120342943</v>
      </c>
      <c r="G27" s="83">
        <v>0.75687096774193563</v>
      </c>
      <c r="H27" s="83">
        <v>14.168322580645162</v>
      </c>
      <c r="I27" s="83">
        <v>8.8072256645991498</v>
      </c>
      <c r="J27" s="83">
        <v>0</v>
      </c>
      <c r="K27" s="83">
        <v>14.883720228745615</v>
      </c>
      <c r="L27" s="83">
        <v>10.739903225806453</v>
      </c>
      <c r="M27" s="83">
        <v>1.7674838709677418</v>
      </c>
      <c r="N27" s="83">
        <v>5.4290322580645187E-2</v>
      </c>
      <c r="O27" s="84"/>
      <c r="P27" s="84"/>
      <c r="Q27" s="84"/>
      <c r="R27" s="3">
        <f t="shared" si="185"/>
        <v>99.790358064516127</v>
      </c>
      <c r="S27" s="135">
        <v>1</v>
      </c>
      <c r="T27" s="288">
        <f t="shared" si="186"/>
        <v>0.33832660638851636</v>
      </c>
      <c r="U27" s="54">
        <f t="shared" si="187"/>
        <v>1386.6654572747075</v>
      </c>
      <c r="V27" s="54">
        <f t="shared" ca="1" si="188"/>
        <v>1379.0965560192835</v>
      </c>
      <c r="W27" s="54">
        <f t="shared" si="5"/>
        <v>1386.6654572747075</v>
      </c>
      <c r="X27" s="101">
        <f t="shared" ca="1" si="6"/>
        <v>1520.0018457815602</v>
      </c>
      <c r="Y27" s="101">
        <f t="shared" ca="1" si="7"/>
        <v>1441.4005298982333</v>
      </c>
      <c r="Z27" s="50">
        <f t="shared" ca="1" si="8"/>
        <v>1484.6950788935612</v>
      </c>
      <c r="AA27" s="50">
        <f t="shared" ca="1" si="9"/>
        <v>1452.5263437502608</v>
      </c>
      <c r="AB27" s="103">
        <f t="shared" ca="1" si="128"/>
        <v>50.839810096192885</v>
      </c>
      <c r="AC27" s="283">
        <v>13.3</v>
      </c>
      <c r="AD27" s="283">
        <f t="shared" ca="1" si="10"/>
        <v>10.841232507917415</v>
      </c>
      <c r="AE27" s="3">
        <f t="shared" ca="1" si="11"/>
        <v>101.51621671842312</v>
      </c>
      <c r="AF27" s="3">
        <f t="shared" ca="1" si="12"/>
        <v>212.41269639399766</v>
      </c>
      <c r="AG27" s="3">
        <f t="shared" ca="1" si="13"/>
        <v>477.91972156939181</v>
      </c>
      <c r="AH27" s="3">
        <f t="shared" ca="1" si="14"/>
        <v>84.271020238894707</v>
      </c>
      <c r="AI27" s="85">
        <f t="shared" si="189"/>
        <v>0.31159058604370932</v>
      </c>
      <c r="AJ27" s="85">
        <f t="shared" ca="1" si="15"/>
        <v>1.5459878503964271</v>
      </c>
      <c r="AK27" s="85">
        <f t="shared" si="16"/>
        <v>0.27243913110058132</v>
      </c>
      <c r="AL27" s="86">
        <f t="shared" ca="1" si="130"/>
        <v>0.27954724812960291</v>
      </c>
      <c r="AM27" s="85">
        <f t="shared" si="17"/>
        <v>0.33832660638851636</v>
      </c>
      <c r="AN27" s="85">
        <f t="shared" ca="1" si="190"/>
        <v>0.33832660638851669</v>
      </c>
      <c r="AO27" s="123">
        <f t="shared" ca="1" si="191"/>
        <v>41.140135532379468</v>
      </c>
      <c r="AP27" s="123">
        <f t="shared" ca="1" si="192"/>
        <v>8.3544982484811285</v>
      </c>
      <c r="AQ27" s="123">
        <f t="shared" ca="1" si="193"/>
        <v>50.505366219139411</v>
      </c>
      <c r="AR27" s="2"/>
      <c r="AS27" s="53">
        <f t="shared" ca="1" si="132"/>
        <v>78.478378466946737</v>
      </c>
      <c r="AT27" s="53">
        <f t="shared" ca="1" si="194"/>
        <v>91.509606669564391</v>
      </c>
      <c r="AU27" s="63">
        <f t="shared" ca="1" si="22"/>
        <v>0.33832660638851669</v>
      </c>
      <c r="AV27" s="53">
        <f t="shared" si="195"/>
        <v>3.0072832468935364</v>
      </c>
      <c r="AW27" s="53">
        <f t="shared" ca="1" si="196"/>
        <v>3.0362875266320422</v>
      </c>
      <c r="AX27" s="54">
        <f t="shared" si="197"/>
        <v>1393.0868606102167</v>
      </c>
      <c r="AY27" s="54">
        <f t="shared" si="198"/>
        <v>1386.6654572747075</v>
      </c>
      <c r="AZ27" s="54">
        <f t="shared" ca="1" si="26"/>
        <v>1379.0965560192835</v>
      </c>
      <c r="BA27" s="34"/>
      <c r="BB27" s="63">
        <f t="shared" ca="1" si="27"/>
        <v>0.17632881933008687</v>
      </c>
      <c r="BC27" s="63">
        <f t="shared" ca="1" si="28"/>
        <v>4.7796063542865308E-2</v>
      </c>
      <c r="BD27" s="53">
        <f t="shared" si="29"/>
        <v>0.11212216206280567</v>
      </c>
      <c r="BE27" s="53">
        <f t="shared" ca="1" si="30"/>
        <v>0.18488771976693036</v>
      </c>
      <c r="BF27" s="53">
        <f t="shared" ca="1" si="31"/>
        <v>0.22868944054912732</v>
      </c>
      <c r="BH27" s="53">
        <f t="shared" si="32"/>
        <v>0.12137815450127314</v>
      </c>
      <c r="BI27" s="53">
        <f t="shared" si="33"/>
        <v>0.16776991889324336</v>
      </c>
      <c r="BK27" s="53">
        <f t="shared" si="134"/>
        <v>0.22598115616675468</v>
      </c>
      <c r="BL27" s="53">
        <f t="shared" si="135"/>
        <v>0.10022538783350843</v>
      </c>
      <c r="BM27" s="53">
        <f t="shared" si="136"/>
        <v>0.14335675976356727</v>
      </c>
      <c r="BN27" s="53">
        <f t="shared" si="137"/>
        <v>0.25589350836317515</v>
      </c>
      <c r="BO27" s="53">
        <f t="shared" si="138"/>
        <v>0.2712977436133886</v>
      </c>
      <c r="BP27" s="53">
        <f t="shared" si="139"/>
        <v>0.36171813021030563</v>
      </c>
      <c r="BQ27" s="54">
        <f t="shared" si="140"/>
        <v>1347.7187531257814</v>
      </c>
      <c r="BR27" s="262">
        <f t="shared" si="141"/>
        <v>2.6075697760272831</v>
      </c>
      <c r="BS27" s="54">
        <f t="shared" si="142"/>
        <v>1477.2336932778246</v>
      </c>
      <c r="BU27" s="2">
        <f t="shared" si="37"/>
        <v>0.80913017981740065</v>
      </c>
      <c r="BV27" s="2">
        <f t="shared" si="38"/>
        <v>9.4727280067826731E-3</v>
      </c>
      <c r="BW27" s="2">
        <f t="shared" si="39"/>
        <v>0.27791923461445983</v>
      </c>
      <c r="BX27" s="2">
        <f t="shared" si="40"/>
        <v>0.12257794940291093</v>
      </c>
      <c r="BY27" s="2">
        <f t="shared" si="41"/>
        <v>0</v>
      </c>
      <c r="BZ27" s="2">
        <f t="shared" si="42"/>
        <v>0.36932308259914681</v>
      </c>
      <c r="CA27" s="2">
        <f t="shared" si="43"/>
        <v>0.19151039988955873</v>
      </c>
      <c r="CB27" s="2">
        <f t="shared" si="44"/>
        <v>5.7034006807607035E-2</v>
      </c>
      <c r="CC27" s="2">
        <f t="shared" si="45"/>
        <v>1.1526607766591335E-3</v>
      </c>
      <c r="CD27" s="2">
        <f t="shared" si="46"/>
        <v>0</v>
      </c>
      <c r="CE27" s="2">
        <f t="shared" si="47"/>
        <v>0</v>
      </c>
      <c r="CF27" s="2">
        <f t="shared" si="199"/>
        <v>1.8381202419145255</v>
      </c>
      <c r="CG27" s="2">
        <f t="shared" si="200"/>
        <v>0.44019436888124214</v>
      </c>
      <c r="CH27" s="2">
        <f t="shared" si="201"/>
        <v>5.1534865841617586E-3</v>
      </c>
      <c r="CI27" s="2">
        <f t="shared" si="202"/>
        <v>0.15119752684132803</v>
      </c>
      <c r="CJ27" s="2">
        <f t="shared" si="203"/>
        <v>6.6686578281319492E-2</v>
      </c>
      <c r="CK27" s="2">
        <f t="shared" si="204"/>
        <v>0</v>
      </c>
      <c r="CL27" s="2">
        <f t="shared" si="205"/>
        <v>0.20092433246612423</v>
      </c>
      <c r="CM27" s="2">
        <f t="shared" si="206"/>
        <v>0.1041881785111554</v>
      </c>
      <c r="CN27" s="2">
        <f t="shared" si="207"/>
        <v>3.1028441723813614E-2</v>
      </c>
      <c r="CO27" s="2">
        <f t="shared" si="208"/>
        <v>6.270867108555205E-4</v>
      </c>
      <c r="CP27" s="2">
        <f t="shared" si="209"/>
        <v>0</v>
      </c>
      <c r="CQ27" s="2">
        <f t="shared" si="210"/>
        <v>0</v>
      </c>
      <c r="CR27" s="2"/>
      <c r="CS27" s="2">
        <f t="shared" ca="1" si="52"/>
        <v>0.68475591764945853</v>
      </c>
      <c r="CT27" s="2">
        <f t="shared" ca="1" si="53"/>
        <v>0.11627694152374571</v>
      </c>
      <c r="CU27" s="2">
        <f t="shared" ca="1" si="54"/>
        <v>1.2532348937751716</v>
      </c>
      <c r="CV27" s="2">
        <f t="shared" ca="1" si="211"/>
        <v>2.0542677529483759</v>
      </c>
      <c r="CW27" s="2">
        <f t="shared" ca="1" si="212"/>
        <v>0.33333333333333326</v>
      </c>
      <c r="CX27" s="2">
        <f t="shared" ca="1" si="213"/>
        <v>5.6602622202904122E-2</v>
      </c>
      <c r="CY27" s="2">
        <f t="shared" ca="1" si="214"/>
        <v>0.6100640444637625</v>
      </c>
      <c r="CZ27" s="2">
        <f t="shared" si="215"/>
        <v>0.37179908925859911</v>
      </c>
      <c r="DA27" s="2">
        <f t="shared" si="216"/>
        <v>0.44019436888124214</v>
      </c>
      <c r="DB27" s="2">
        <f t="shared" si="217"/>
        <v>-0.6099184040837351</v>
      </c>
      <c r="DC27" s="2"/>
      <c r="DD27" s="2">
        <f t="shared" si="218"/>
        <v>1393.0868606102167</v>
      </c>
      <c r="DE27" s="2">
        <f t="shared" si="219"/>
        <v>14097.179471759839</v>
      </c>
      <c r="DF27" s="2">
        <f t="shared" si="64"/>
        <v>8.4604895048337276</v>
      </c>
      <c r="DG27" s="2">
        <f t="shared" si="220"/>
        <v>1607.8154572747076</v>
      </c>
      <c r="DH27" s="2">
        <f t="shared" si="221"/>
        <v>1334.6654572747075</v>
      </c>
      <c r="DI27" s="2">
        <f t="shared" si="143"/>
        <v>13602.905801982104</v>
      </c>
      <c r="DJ27" s="2">
        <f t="shared" si="67"/>
        <v>8.4604895048337276</v>
      </c>
      <c r="DK27" s="2">
        <f t="shared" si="222"/>
        <v>1607.8154572747076</v>
      </c>
      <c r="DL27" s="2">
        <f t="shared" si="69"/>
        <v>1</v>
      </c>
      <c r="DM27" s="2">
        <f t="shared" si="223"/>
        <v>-0.6099184040837351</v>
      </c>
      <c r="DN27" s="2">
        <f t="shared" si="224"/>
        <v>0.37179908925859911</v>
      </c>
      <c r="DO27" s="2">
        <f t="shared" si="225"/>
        <v>0.44019436888124214</v>
      </c>
      <c r="DP27" s="2">
        <f t="shared" si="226"/>
        <v>3.0072832468935364</v>
      </c>
      <c r="DQ27" s="2">
        <f t="shared" si="74"/>
        <v>14097.299999999996</v>
      </c>
      <c r="DR27" s="2">
        <f t="shared" si="227"/>
        <v>8.4602662776615922</v>
      </c>
      <c r="DS27" s="2">
        <f t="shared" si="228"/>
        <v>1393.1450712582623</v>
      </c>
      <c r="DT27" s="2">
        <f t="shared" si="229"/>
        <v>1334.724856837232</v>
      </c>
      <c r="DU27" s="2">
        <f t="shared" si="230"/>
        <v>1386.724856837232</v>
      </c>
      <c r="DV27" s="9">
        <f t="shared" ca="1" si="231"/>
        <v>3.0362875266320422</v>
      </c>
      <c r="DW27" s="2">
        <f t="shared" ca="1" si="80"/>
        <v>3.1754518107908569</v>
      </c>
      <c r="DX27" s="2">
        <f t="shared" si="232"/>
        <v>4485.09</v>
      </c>
      <c r="DY27" s="2">
        <f t="shared" ca="1" si="233"/>
        <v>1412.4257797768228</v>
      </c>
      <c r="DZ27" s="2">
        <f t="shared" ca="1" si="234"/>
        <v>4.5763649862040747</v>
      </c>
      <c r="EA27" s="2"/>
      <c r="EB27" s="2">
        <f t="shared" si="83"/>
        <v>0.80913017981740065</v>
      </c>
      <c r="EC27" s="2">
        <f t="shared" si="84"/>
        <v>9.4727280067826731E-3</v>
      </c>
      <c r="ED27" s="2">
        <f t="shared" si="85"/>
        <v>0.13895961730722992</v>
      </c>
      <c r="EE27" s="2">
        <f t="shared" si="86"/>
        <v>0.12257794940291093</v>
      </c>
      <c r="EF27" s="2">
        <f t="shared" si="87"/>
        <v>0</v>
      </c>
      <c r="EG27" s="2">
        <f t="shared" si="88"/>
        <v>0.36932308259914681</v>
      </c>
      <c r="EH27" s="2">
        <f t="shared" si="89"/>
        <v>0.19151039988955873</v>
      </c>
      <c r="EI27" s="2">
        <f t="shared" si="90"/>
        <v>2.8517003403803518E-2</v>
      </c>
      <c r="EJ27" s="2">
        <f t="shared" si="91"/>
        <v>5.7633038832956675E-4</v>
      </c>
      <c r="EK27" s="2">
        <f t="shared" si="92"/>
        <v>0</v>
      </c>
      <c r="EL27" s="2">
        <f t="shared" si="93"/>
        <v>0</v>
      </c>
      <c r="EM27" s="2">
        <f t="shared" si="235"/>
        <v>1.6700672908151628</v>
      </c>
      <c r="EN27" s="2">
        <f t="shared" si="236"/>
        <v>0.4844895677361975</v>
      </c>
      <c r="EO27" s="2">
        <f t="shared" si="237"/>
        <v>5.6720636700566826E-3</v>
      </c>
      <c r="EP27" s="2">
        <f t="shared" si="238"/>
        <v>8.3205998986665669E-2</v>
      </c>
      <c r="EQ27" s="2">
        <f t="shared" si="239"/>
        <v>7.3397012250374899E-2</v>
      </c>
      <c r="ER27" s="2">
        <f t="shared" si="240"/>
        <v>0</v>
      </c>
      <c r="ES27" s="2">
        <f t="shared" si="241"/>
        <v>0.22114263576701723</v>
      </c>
      <c r="ET27" s="2">
        <f t="shared" si="242"/>
        <v>0.11467226556846231</v>
      </c>
      <c r="EU27" s="2">
        <f t="shared" si="243"/>
        <v>1.7075361909449957E-2</v>
      </c>
      <c r="EV27" s="2">
        <f t="shared" si="244"/>
        <v>3.4509411177573499E-4</v>
      </c>
      <c r="EW27" s="2">
        <f t="shared" si="245"/>
        <v>0</v>
      </c>
      <c r="EX27" s="2">
        <f t="shared" si="246"/>
        <v>0</v>
      </c>
      <c r="EY27" s="2">
        <f t="shared" si="247"/>
        <v>0.99999999999999989</v>
      </c>
      <c r="EZ27" s="2">
        <f t="shared" si="97"/>
        <v>0.15119752684132803</v>
      </c>
      <c r="FA27" s="2">
        <f t="shared" si="98"/>
        <v>0.59654538230673193</v>
      </c>
      <c r="FB27" s="2">
        <f t="shared" si="99"/>
        <v>1.5051188546687335</v>
      </c>
      <c r="FC27" s="2">
        <f t="shared" si="248"/>
        <v>0.62405618011053932</v>
      </c>
      <c r="FD27" s="2">
        <f t="shared" si="249"/>
        <v>1.0461168565205017</v>
      </c>
      <c r="FE27" s="2">
        <f t="shared" ca="1" si="102"/>
        <v>0.10513313697808722</v>
      </c>
      <c r="FF27" s="2">
        <f t="shared" ca="1" si="103"/>
        <v>0.10513313697808722</v>
      </c>
      <c r="FG27" s="2">
        <f t="shared" ca="1" si="104"/>
        <v>0.11214342624137318</v>
      </c>
      <c r="FH27" s="2">
        <f t="shared" ca="1" si="105"/>
        <v>-5.106142637529131</v>
      </c>
      <c r="FI27" s="2">
        <f t="shared" ca="1" si="106"/>
        <v>6.3758350610540393E-3</v>
      </c>
      <c r="FJ27" s="2">
        <f t="shared" ca="1" si="107"/>
        <v>6.0645342128266819E-2</v>
      </c>
      <c r="FK27" s="2">
        <f t="shared" ca="1" si="108"/>
        <v>0.27423631774091339</v>
      </c>
      <c r="FL27" s="2">
        <f t="shared" ca="1" si="109"/>
        <v>9.2781442729766198E-2</v>
      </c>
      <c r="FM27" s="2">
        <f t="shared" ca="1" si="250"/>
        <v>0.33832660638851669</v>
      </c>
      <c r="FN27" s="2">
        <f t="shared" ca="1" si="251"/>
        <v>9.2781442729766211E-2</v>
      </c>
      <c r="FO27" s="2">
        <f t="shared" ca="1" si="110"/>
        <v>9.2781442729766114E-2</v>
      </c>
      <c r="FP27" s="2">
        <f t="shared" ca="1" si="252"/>
        <v>1.8301921333912876</v>
      </c>
      <c r="FQ27" s="2">
        <f t="shared" ca="1" si="253"/>
        <v>0.16980786660871239</v>
      </c>
      <c r="FR27" s="2">
        <f t="shared" si="148"/>
        <v>0.33333333333333331</v>
      </c>
      <c r="FS27" s="2">
        <f t="shared" ca="1" si="254"/>
        <v>5.6602622202904129E-2</v>
      </c>
      <c r="FT27" s="2">
        <f t="shared" ca="1" si="255"/>
        <v>0.6100640444637625</v>
      </c>
      <c r="FU27" s="2">
        <f t="shared" si="256"/>
        <v>20.026666666666664</v>
      </c>
      <c r="FV27" s="2">
        <f t="shared" ca="1" si="257"/>
        <v>4.0668984052786614</v>
      </c>
      <c r="FW27" s="2">
        <f t="shared" ca="1" si="258"/>
        <v>24.585580991889628</v>
      </c>
      <c r="FX27" s="2">
        <f t="shared" ca="1" si="259"/>
        <v>48.679146063834949</v>
      </c>
      <c r="FY27" s="2">
        <f t="shared" ca="1" si="260"/>
        <v>41.140135532379468</v>
      </c>
      <c r="FZ27" s="2">
        <f t="shared" ca="1" si="261"/>
        <v>8.3544982484811285</v>
      </c>
      <c r="GA27" s="2">
        <f t="shared" ca="1" si="262"/>
        <v>50.505366219139411</v>
      </c>
      <c r="GB27" s="2">
        <f t="shared" ca="1" si="263"/>
        <v>91.509606669564391</v>
      </c>
      <c r="GC27" s="2">
        <f t="shared" si="120"/>
        <v>1000000000</v>
      </c>
      <c r="GD27" s="2">
        <f t="shared" si="149"/>
        <v>38</v>
      </c>
      <c r="GE27">
        <f t="shared" si="150"/>
        <v>1248.4191566</v>
      </c>
      <c r="GF27">
        <f t="shared" si="151"/>
        <v>1247.796</v>
      </c>
      <c r="GG27">
        <f t="shared" si="152"/>
        <v>1706.3210000000001</v>
      </c>
      <c r="GH27" s="2">
        <f t="shared" si="153"/>
        <v>0.3028612557106099</v>
      </c>
      <c r="GI27" s="2">
        <f t="shared" si="154"/>
        <v>1.8929999999999998</v>
      </c>
      <c r="GJ27" s="2">
        <f t="shared" si="155"/>
        <v>-2.9020000000000001</v>
      </c>
      <c r="GK27" s="2">
        <f t="shared" si="156"/>
        <v>2.0169999999999999</v>
      </c>
      <c r="GL27" s="2">
        <f t="shared" si="157"/>
        <v>-0.3028612557106099</v>
      </c>
      <c r="GM27">
        <f t="shared" si="158"/>
        <v>0.47959015038836555</v>
      </c>
      <c r="GN27">
        <f t="shared" si="159"/>
        <v>0.11030895376604709</v>
      </c>
      <c r="GO27">
        <f t="shared" si="160"/>
        <v>-0.22505308742815469</v>
      </c>
      <c r="GP27">
        <f t="shared" si="161"/>
        <v>-7.5077158083939E-2</v>
      </c>
      <c r="GQ27">
        <f t="shared" si="162"/>
        <v>0.31284085275161128</v>
      </c>
      <c r="GR27">
        <f t="shared" si="163"/>
        <v>0.2300067123495351</v>
      </c>
      <c r="GS27">
        <f t="shared" si="164"/>
        <v>-3.9666975578168603E-2</v>
      </c>
      <c r="GT27">
        <f t="shared" si="165"/>
        <v>5.6836602496915896E-4</v>
      </c>
      <c r="GU27">
        <f t="shared" si="166"/>
        <v>0.1877007029886531</v>
      </c>
      <c r="GV27">
        <f t="shared" si="167"/>
        <v>-0.44130969721026397</v>
      </c>
      <c r="GW27">
        <f t="shared" si="168"/>
        <v>0.22598115616675468</v>
      </c>
      <c r="GX27" s="2"/>
      <c r="GY27" s="15">
        <f t="shared" si="169"/>
        <v>0.132542387603485</v>
      </c>
      <c r="GZ27" s="2">
        <f t="shared" si="170"/>
        <v>8.8878062656722351E-2</v>
      </c>
      <c r="HA27" s="2">
        <f t="shared" si="171"/>
        <v>7.238226015312528E-2</v>
      </c>
      <c r="HB27" s="2">
        <f t="shared" si="172"/>
        <v>0.29380271041333261</v>
      </c>
      <c r="HC27" s="2">
        <f t="shared" si="173"/>
        <v>0.4511271778841639</v>
      </c>
      <c r="HD27" s="2">
        <f t="shared" si="174"/>
        <v>0.30250933536891261</v>
      </c>
      <c r="HE27" s="2">
        <f t="shared" si="175"/>
        <v>0.24636348674692352</v>
      </c>
      <c r="HF27" s="2">
        <f t="shared" si="176"/>
        <v>-1.2732613895453975</v>
      </c>
      <c r="HG27" s="2">
        <f t="shared" si="177"/>
        <v>-1.2759421897460657</v>
      </c>
      <c r="HH27" s="2">
        <f t="shared" si="178"/>
        <v>-1.2746017896457316</v>
      </c>
      <c r="HI27" s="2">
        <f t="shared" si="179"/>
        <v>2.6848258456837915</v>
      </c>
      <c r="HJ27" s="2">
        <f t="shared" si="180"/>
        <v>0.15099300014445263</v>
      </c>
      <c r="HK27" s="2">
        <f t="shared" si="181"/>
        <v>0.33293850892802906</v>
      </c>
      <c r="HL27" s="2">
        <f t="shared" si="182"/>
        <v>0.91061593121618056</v>
      </c>
    </row>
    <row r="28" spans="1:220" ht="20.25">
      <c r="A28" s="88" t="s">
        <v>150</v>
      </c>
      <c r="B28" s="77">
        <v>3500</v>
      </c>
      <c r="C28" s="94">
        <f t="shared" si="126"/>
        <v>-2.4694227708349898</v>
      </c>
      <c r="D28" s="59">
        <f t="shared" si="183"/>
        <v>-2.0753074464506138</v>
      </c>
      <c r="E28" s="60">
        <f t="shared" si="184"/>
        <v>-2.4694227708349898</v>
      </c>
      <c r="F28" s="84">
        <v>46.2</v>
      </c>
      <c r="G28" s="84">
        <v>0.42399999999999999</v>
      </c>
      <c r="H28" s="84">
        <v>4.07</v>
      </c>
      <c r="I28" s="84">
        <v>11.97</v>
      </c>
      <c r="J28" s="84">
        <v>0.21</v>
      </c>
      <c r="K28" s="84">
        <v>27.2</v>
      </c>
      <c r="L28" s="84">
        <v>7.51</v>
      </c>
      <c r="M28" s="84">
        <v>0.51</v>
      </c>
      <c r="N28" s="84">
        <v>0.02</v>
      </c>
      <c r="O28" s="84"/>
      <c r="P28" s="84"/>
      <c r="Q28" s="84"/>
      <c r="R28" s="3">
        <f t="shared" si="185"/>
        <v>98.114000000000004</v>
      </c>
      <c r="S28" s="135">
        <v>4</v>
      </c>
      <c r="T28" s="288">
        <f t="shared" si="186"/>
        <v>0.35739803329999997</v>
      </c>
      <c r="U28" s="54">
        <f t="shared" si="187"/>
        <v>1732.8573255210522</v>
      </c>
      <c r="V28" s="54">
        <f t="shared" ca="1" si="188"/>
        <v>1732.533966709484</v>
      </c>
      <c r="W28" s="54">
        <f t="shared" si="5"/>
        <v>1732.8573255210522</v>
      </c>
      <c r="X28" s="101">
        <f t="shared" ca="1" si="6"/>
        <v>2049.9906543905258</v>
      </c>
      <c r="Y28" s="101">
        <f t="shared" ca="1" si="7"/>
        <v>1905.9988315090143</v>
      </c>
      <c r="Z28" s="50">
        <f t="shared" ca="1" si="8"/>
        <v>2018.360903950005</v>
      </c>
      <c r="AA28" s="50">
        <f t="shared" ca="1" si="9"/>
        <v>1972.0631858576776</v>
      </c>
      <c r="AB28" s="103">
        <f t="shared" ca="1" si="128"/>
        <v>88.713202414902128</v>
      </c>
      <c r="AC28" s="283">
        <v>13.3</v>
      </c>
      <c r="AD28" s="283">
        <f t="shared" ca="1" si="10"/>
        <v>13.454889102034834</v>
      </c>
      <c r="AE28" s="3">
        <f t="shared" ca="1" si="11"/>
        <v>125.44961279206547</v>
      </c>
      <c r="AF28" s="3">
        <f t="shared" ca="1" si="12"/>
        <v>215.01367983582855</v>
      </c>
      <c r="AG28" s="3">
        <f t="shared" ca="1" si="13"/>
        <v>583.44944790420413</v>
      </c>
      <c r="AH28" s="3">
        <f t="shared" ca="1" si="14"/>
        <v>293.34877555633278</v>
      </c>
      <c r="AI28" s="85">
        <f t="shared" si="189"/>
        <v>0.53974524075666908</v>
      </c>
      <c r="AJ28" s="85">
        <f t="shared" ca="1" si="15"/>
        <v>4.077469449392054</v>
      </c>
      <c r="AK28" s="85">
        <f t="shared" si="16"/>
        <v>0.30967483955584857</v>
      </c>
      <c r="AL28" s="86">
        <f t="shared" ca="1" si="130"/>
        <v>0.28256848803681378</v>
      </c>
      <c r="AM28" s="85">
        <f t="shared" si="17"/>
        <v>0.35739803329999997</v>
      </c>
      <c r="AN28" s="85">
        <f t="shared" ca="1" si="190"/>
        <v>0.35739803329999986</v>
      </c>
      <c r="AO28" s="123">
        <f t="shared" ca="1" si="191"/>
        <v>41.493401832445151</v>
      </c>
      <c r="AP28" s="123">
        <f t="shared" ca="1" si="192"/>
        <v>6.4707101259095641</v>
      </c>
      <c r="AQ28" s="123">
        <f t="shared" ca="1" si="193"/>
        <v>52.035888041645286</v>
      </c>
      <c r="AR28" s="2"/>
      <c r="AS28" s="53">
        <f t="shared" ca="1" si="132"/>
        <v>83.671300120204478</v>
      </c>
      <c r="AT28" s="53">
        <f t="shared" ca="1" si="194"/>
        <v>93.480023074154687</v>
      </c>
      <c r="AU28" s="63">
        <f t="shared" ca="1" si="22"/>
        <v>0.35739803329999986</v>
      </c>
      <c r="AV28" s="53">
        <f t="shared" si="195"/>
        <v>1.6916945473319058</v>
      </c>
      <c r="AW28" s="53">
        <f t="shared" ca="1" si="196"/>
        <v>1.7076415628626653</v>
      </c>
      <c r="AX28" s="54">
        <f t="shared" si="197"/>
        <v>1813.6942095754757</v>
      </c>
      <c r="AY28" s="54">
        <f t="shared" si="198"/>
        <v>1732.8573255210522</v>
      </c>
      <c r="AZ28" s="54">
        <f t="shared" ca="1" si="26"/>
        <v>1732.533966709484</v>
      </c>
      <c r="BA28" s="34"/>
      <c r="BB28" s="63">
        <f t="shared" ca="1" si="27"/>
        <v>0.50278353439199308</v>
      </c>
      <c r="BC28" s="63">
        <f t="shared" ca="1" si="28"/>
        <v>7.954217006471917E-2</v>
      </c>
      <c r="BD28" s="53">
        <f t="shared" si="29"/>
        <v>0.39439500000000005</v>
      </c>
      <c r="BE28" s="53">
        <f t="shared" ca="1" si="30"/>
        <v>0.54969106878398599</v>
      </c>
      <c r="BF28" s="53">
        <f t="shared" ca="1" si="31"/>
        <v>0.33614839804171776</v>
      </c>
      <c r="BH28" s="53">
        <f t="shared" si="32"/>
        <v>0.41461900000000002</v>
      </c>
      <c r="BI28" s="53">
        <f t="shared" si="33"/>
        <v>0.45587600000000011</v>
      </c>
      <c r="BK28" s="53">
        <f t="shared" si="134"/>
        <v>0.71132778271499597</v>
      </c>
      <c r="BL28" s="53">
        <f t="shared" si="135"/>
        <v>0.55113822968099013</v>
      </c>
      <c r="BM28" s="53">
        <f t="shared" si="136"/>
        <v>0.6814264348894461</v>
      </c>
      <c r="BN28" s="53">
        <f t="shared" si="137"/>
        <v>1.1537697265597051</v>
      </c>
      <c r="BO28" s="53">
        <f t="shared" si="138"/>
        <v>0.5981422476700422</v>
      </c>
      <c r="BP28" s="53">
        <f t="shared" si="139"/>
        <v>0.50806614319367538</v>
      </c>
      <c r="BQ28" s="54">
        <f t="shared" si="140"/>
        <v>1565.3055999999999</v>
      </c>
      <c r="BR28" s="262">
        <f t="shared" si="141"/>
        <v>12.089377492935283</v>
      </c>
      <c r="BS28" s="54">
        <f t="shared" si="142"/>
        <v>1970.5389689659748</v>
      </c>
      <c r="BU28" s="2">
        <f t="shared" si="37"/>
        <v>0.76897470039946747</v>
      </c>
      <c r="BV28" s="2">
        <f t="shared" si="38"/>
        <v>5.306633291614518E-3</v>
      </c>
      <c r="BW28" s="2">
        <f t="shared" si="39"/>
        <v>7.9835229501765415E-2</v>
      </c>
      <c r="BX28" s="2">
        <f t="shared" si="40"/>
        <v>0.1665970772442589</v>
      </c>
      <c r="BY28" s="2">
        <f t="shared" si="41"/>
        <v>2.9602480969833662E-3</v>
      </c>
      <c r="BZ28" s="2">
        <f t="shared" si="42"/>
        <v>0.67493796526054595</v>
      </c>
      <c r="CA28" s="2">
        <f t="shared" si="43"/>
        <v>0.13391583452211128</v>
      </c>
      <c r="CB28" s="2">
        <f t="shared" si="44"/>
        <v>1.6456921587608909E-2</v>
      </c>
      <c r="CC28" s="2">
        <f t="shared" si="45"/>
        <v>4.2462845010615713E-4</v>
      </c>
      <c r="CD28" s="2">
        <f t="shared" si="46"/>
        <v>0</v>
      </c>
      <c r="CE28" s="2">
        <f t="shared" si="47"/>
        <v>0</v>
      </c>
      <c r="CF28" s="2">
        <f t="shared" si="199"/>
        <v>1.8494092383544618</v>
      </c>
      <c r="CG28" s="2">
        <f t="shared" si="200"/>
        <v>0.41579477621928268</v>
      </c>
      <c r="CH28" s="2">
        <f t="shared" si="201"/>
        <v>2.8693667045462425E-3</v>
      </c>
      <c r="CI28" s="2">
        <f t="shared" si="202"/>
        <v>4.3167962961404877E-2</v>
      </c>
      <c r="CJ28" s="2">
        <f t="shared" si="203"/>
        <v>9.0081239884197306E-2</v>
      </c>
      <c r="CK28" s="2">
        <f t="shared" si="204"/>
        <v>1.6006452415136031E-3</v>
      </c>
      <c r="CL28" s="2">
        <f t="shared" si="205"/>
        <v>0.36494787160308639</v>
      </c>
      <c r="CM28" s="2">
        <f t="shared" si="206"/>
        <v>7.2410060328921472E-2</v>
      </c>
      <c r="CN28" s="2">
        <f t="shared" si="207"/>
        <v>8.8984748460820325E-3</v>
      </c>
      <c r="CO28" s="2">
        <f t="shared" si="208"/>
        <v>2.2960221096547366E-4</v>
      </c>
      <c r="CP28" s="2">
        <f t="shared" si="209"/>
        <v>0</v>
      </c>
      <c r="CQ28" s="2">
        <f t="shared" si="210"/>
        <v>0</v>
      </c>
      <c r="CR28" s="2"/>
      <c r="CS28" s="2">
        <f t="shared" ca="1" si="52"/>
        <v>0.69063584940820821</v>
      </c>
      <c r="CT28" s="2">
        <f t="shared" ca="1" si="53"/>
        <v>9.0058596046062131E-2</v>
      </c>
      <c r="CU28" s="2">
        <f t="shared" ca="1" si="54"/>
        <v>1.2912131027703546</v>
      </c>
      <c r="CV28" s="2">
        <f t="shared" ca="1" si="211"/>
        <v>2.0719075482246252</v>
      </c>
      <c r="CW28" s="2">
        <f t="shared" ca="1" si="212"/>
        <v>0.33333333333333326</v>
      </c>
      <c r="CX28" s="2">
        <f t="shared" ca="1" si="213"/>
        <v>4.3466512838968845E-2</v>
      </c>
      <c r="CY28" s="2">
        <f t="shared" ca="1" si="214"/>
        <v>0.62320015382769778</v>
      </c>
      <c r="CZ28" s="2">
        <f t="shared" si="215"/>
        <v>0.52903981705771874</v>
      </c>
      <c r="DA28" s="2">
        <f t="shared" si="216"/>
        <v>0.41579477621928268</v>
      </c>
      <c r="DB28" s="2">
        <f t="shared" si="217"/>
        <v>-0.17456038347028643</v>
      </c>
      <c r="DC28" s="2"/>
      <c r="DD28" s="2">
        <f t="shared" si="218"/>
        <v>1813.6942095754757</v>
      </c>
      <c r="DE28" s="2">
        <f t="shared" si="219"/>
        <v>15580.148778023671</v>
      </c>
      <c r="DF28" s="2">
        <f t="shared" si="64"/>
        <v>7.4658897422884873</v>
      </c>
      <c r="DG28" s="2">
        <f t="shared" si="220"/>
        <v>1822.0073255210521</v>
      </c>
      <c r="DH28" s="2">
        <f t="shared" si="221"/>
        <v>1548.8573255210522</v>
      </c>
      <c r="DI28" s="2">
        <f t="shared" si="143"/>
        <v>13602.905801982104</v>
      </c>
      <c r="DJ28" s="2">
        <f t="shared" si="67"/>
        <v>7.4658897422884873</v>
      </c>
      <c r="DK28" s="2">
        <f t="shared" si="222"/>
        <v>1822.0073255210521</v>
      </c>
      <c r="DL28" s="2">
        <f t="shared" si="69"/>
        <v>4</v>
      </c>
      <c r="DM28" s="2">
        <f t="shared" si="223"/>
        <v>-0.17456038347028643</v>
      </c>
      <c r="DN28" s="2">
        <f t="shared" si="224"/>
        <v>0.52903981705771874</v>
      </c>
      <c r="DO28" s="2">
        <f t="shared" si="225"/>
        <v>0.41579477621928268</v>
      </c>
      <c r="DP28" s="2">
        <f t="shared" si="226"/>
        <v>1.6916945473319058</v>
      </c>
      <c r="DQ28" s="2">
        <f t="shared" si="74"/>
        <v>15580.199999999995</v>
      </c>
      <c r="DR28" s="2">
        <f t="shared" si="227"/>
        <v>7.4656665151163519</v>
      </c>
      <c r="DS28" s="2">
        <f t="shared" si="228"/>
        <v>1813.7634682688381</v>
      </c>
      <c r="DT28" s="2">
        <f t="shared" si="229"/>
        <v>1548.9310429258762</v>
      </c>
      <c r="DU28" s="2">
        <f t="shared" si="230"/>
        <v>1732.9310429258762</v>
      </c>
      <c r="DV28" s="9">
        <f t="shared" ca="1" si="231"/>
        <v>1.7076415628626653</v>
      </c>
      <c r="DW28" s="2">
        <f t="shared" ca="1" si="80"/>
        <v>2.6660037155344032</v>
      </c>
      <c r="DX28" s="2">
        <f t="shared" si="232"/>
        <v>4650.3599999999997</v>
      </c>
      <c r="DY28" s="2">
        <f t="shared" ca="1" si="233"/>
        <v>1744.3186492588327</v>
      </c>
      <c r="DZ28" s="2">
        <f t="shared" ca="1" si="234"/>
        <v>2.6482391540113182</v>
      </c>
      <c r="EA28" s="2"/>
      <c r="EB28" s="2">
        <f t="shared" si="83"/>
        <v>0.76897470039946747</v>
      </c>
      <c r="EC28" s="2">
        <f t="shared" si="84"/>
        <v>5.306633291614518E-3</v>
      </c>
      <c r="ED28" s="2">
        <f t="shared" si="85"/>
        <v>3.9917614750882707E-2</v>
      </c>
      <c r="EE28" s="2">
        <f t="shared" si="86"/>
        <v>0.1665970772442589</v>
      </c>
      <c r="EF28" s="2">
        <f t="shared" si="87"/>
        <v>2.9602480969833662E-3</v>
      </c>
      <c r="EG28" s="2">
        <f t="shared" si="88"/>
        <v>0.67493796526054595</v>
      </c>
      <c r="EH28" s="2">
        <f t="shared" si="89"/>
        <v>0.13391583452211128</v>
      </c>
      <c r="EI28" s="2">
        <f t="shared" si="90"/>
        <v>8.2284607938044544E-3</v>
      </c>
      <c r="EJ28" s="2">
        <f t="shared" si="91"/>
        <v>2.1231422505307856E-4</v>
      </c>
      <c r="EK28" s="2">
        <f t="shared" si="92"/>
        <v>0</v>
      </c>
      <c r="EL28" s="2">
        <f t="shared" si="93"/>
        <v>0</v>
      </c>
      <c r="EM28" s="2">
        <f t="shared" si="235"/>
        <v>1.8010508485847216</v>
      </c>
      <c r="EN28" s="2">
        <f t="shared" si="236"/>
        <v>0.42695890624283772</v>
      </c>
      <c r="EO28" s="2">
        <f t="shared" si="237"/>
        <v>2.9464094785466538E-3</v>
      </c>
      <c r="EP28" s="2">
        <f t="shared" si="238"/>
        <v>2.2163513474508643E-2</v>
      </c>
      <c r="EQ28" s="2">
        <f t="shared" si="239"/>
        <v>9.2499929902130226E-2</v>
      </c>
      <c r="ER28" s="2">
        <f t="shared" si="240"/>
        <v>1.6436227213182514E-3</v>
      </c>
      <c r="ES28" s="2">
        <f t="shared" si="241"/>
        <v>0.3747467573116644</v>
      </c>
      <c r="ET28" s="2">
        <f t="shared" si="242"/>
        <v>7.4354277463816912E-2</v>
      </c>
      <c r="EU28" s="2">
        <f t="shared" si="243"/>
        <v>4.5686998788903917E-3</v>
      </c>
      <c r="EV28" s="2">
        <f t="shared" si="244"/>
        <v>1.1788352628684335E-4</v>
      </c>
      <c r="EW28" s="2">
        <f t="shared" si="245"/>
        <v>0</v>
      </c>
      <c r="EX28" s="2">
        <f t="shared" si="246"/>
        <v>0</v>
      </c>
      <c r="EY28" s="2">
        <f t="shared" si="247"/>
        <v>1</v>
      </c>
      <c r="EZ28" s="2">
        <f t="shared" si="97"/>
        <v>4.3167962961404877E-2</v>
      </c>
      <c r="FA28" s="2">
        <f t="shared" si="98"/>
        <v>0.46183210588523382</v>
      </c>
      <c r="FB28" s="2">
        <f t="shared" si="99"/>
        <v>1.4356840858760078</v>
      </c>
      <c r="FC28" s="2">
        <f t="shared" si="248"/>
        <v>1.0240397482110803</v>
      </c>
      <c r="FD28" s="2">
        <f t="shared" si="249"/>
        <v>2.217342049548968</v>
      </c>
      <c r="FE28" s="2">
        <f t="shared" ca="1" si="102"/>
        <v>0.13240957224755559</v>
      </c>
      <c r="FF28" s="2">
        <f t="shared" ca="1" si="103"/>
        <v>0.13240957224755559</v>
      </c>
      <c r="FG28" s="2">
        <f t="shared" ca="1" si="104"/>
        <v>0.23750532537314722</v>
      </c>
      <c r="FH28" s="2">
        <f t="shared" ca="1" si="105"/>
        <v>-1.3695966708835801</v>
      </c>
      <c r="FI28" s="2">
        <f t="shared" ca="1" si="106"/>
        <v>9.6834999727641157E-3</v>
      </c>
      <c r="FJ28" s="2">
        <f t="shared" ca="1" si="107"/>
        <v>7.3132929956601991E-2</v>
      </c>
      <c r="FK28" s="2">
        <f t="shared" ca="1" si="108"/>
        <v>0.19515293602868927</v>
      </c>
      <c r="FL28" s="2">
        <f t="shared" ca="1" si="109"/>
        <v>6.9747275529374236E-2</v>
      </c>
      <c r="FM28" s="2">
        <f t="shared" ca="1" si="250"/>
        <v>0.35739803329999986</v>
      </c>
      <c r="FN28" s="2">
        <f t="shared" ca="1" si="251"/>
        <v>6.9747275529374236E-2</v>
      </c>
      <c r="FO28" s="2">
        <f t="shared" ca="1" si="110"/>
        <v>6.974727552937425E-2</v>
      </c>
      <c r="FP28" s="2">
        <f t="shared" ca="1" si="252"/>
        <v>1.8696004614830934</v>
      </c>
      <c r="FQ28" s="2">
        <f t="shared" ca="1" si="253"/>
        <v>0.13039953851690655</v>
      </c>
      <c r="FR28" s="2">
        <f t="shared" si="148"/>
        <v>0.33333333333333331</v>
      </c>
      <c r="FS28" s="2">
        <f t="shared" ca="1" si="254"/>
        <v>4.3466512838968852E-2</v>
      </c>
      <c r="FT28" s="2">
        <f t="shared" ca="1" si="255"/>
        <v>0.62320015382769778</v>
      </c>
      <c r="FU28" s="2">
        <f t="shared" si="256"/>
        <v>20.026666666666664</v>
      </c>
      <c r="FV28" s="2">
        <f t="shared" ca="1" si="257"/>
        <v>3.1230689474799118</v>
      </c>
      <c r="FW28" s="2">
        <f t="shared" ca="1" si="258"/>
        <v>25.114966199256219</v>
      </c>
      <c r="FX28" s="2">
        <f t="shared" ca="1" si="259"/>
        <v>48.264701813402795</v>
      </c>
      <c r="FY28" s="2">
        <f t="shared" ca="1" si="260"/>
        <v>41.493401832445151</v>
      </c>
      <c r="FZ28" s="2">
        <f t="shared" ca="1" si="261"/>
        <v>6.4707101259095641</v>
      </c>
      <c r="GA28" s="2">
        <f t="shared" ca="1" si="262"/>
        <v>52.035888041645286</v>
      </c>
      <c r="GB28" s="2">
        <f t="shared" ca="1" si="263"/>
        <v>93.480023074154687</v>
      </c>
      <c r="GC28" s="2">
        <f t="shared" si="120"/>
        <v>4000000000</v>
      </c>
      <c r="GD28" s="2">
        <f t="shared" si="149"/>
        <v>38</v>
      </c>
      <c r="GE28">
        <f t="shared" si="150"/>
        <v>1570.0092115999998</v>
      </c>
      <c r="GF28">
        <f t="shared" si="151"/>
        <v>1569.9359999999999</v>
      </c>
      <c r="GG28">
        <f t="shared" si="152"/>
        <v>1874.2760000000003</v>
      </c>
      <c r="GH28" s="2">
        <f t="shared" si="153"/>
        <v>0.53532669225554341</v>
      </c>
      <c r="GI28" s="2">
        <f t="shared" si="154"/>
        <v>0.98699999999999988</v>
      </c>
      <c r="GJ28" s="2">
        <f t="shared" si="155"/>
        <v>-1.1860000000000004</v>
      </c>
      <c r="GK28" s="2">
        <f t="shared" si="156"/>
        <v>1.2039999999999997</v>
      </c>
      <c r="GL28" s="2">
        <f t="shared" si="157"/>
        <v>-0.53532669225554341</v>
      </c>
      <c r="GM28">
        <f t="shared" si="158"/>
        <v>0.32834994462901457</v>
      </c>
      <c r="GN28">
        <f t="shared" si="159"/>
        <v>3.5400617873621851E-2</v>
      </c>
      <c r="GO28">
        <f t="shared" si="160"/>
        <v>-0.13458529707177633</v>
      </c>
      <c r="GP28">
        <f t="shared" si="161"/>
        <v>-0.22231174927555794</v>
      </c>
      <c r="GQ28">
        <f t="shared" si="162"/>
        <v>0.27325581395348841</v>
      </c>
      <c r="GR28">
        <f t="shared" si="163"/>
        <v>0.10781368613787694</v>
      </c>
      <c r="GS28">
        <f t="shared" si="164"/>
        <v>0.12312707007740346</v>
      </c>
      <c r="GT28">
        <f t="shared" si="165"/>
        <v>4.5283326368835289E-3</v>
      </c>
      <c r="GU28">
        <f t="shared" si="166"/>
        <v>0.64105552582319236</v>
      </c>
      <c r="GV28">
        <f t="shared" si="167"/>
        <v>-0.25807768773721096</v>
      </c>
      <c r="GW28">
        <f t="shared" si="168"/>
        <v>0.71132778271499597</v>
      </c>
      <c r="GX28" s="2"/>
      <c r="GY28" s="15">
        <f t="shared" si="169"/>
        <v>0.21083868783013759</v>
      </c>
      <c r="GZ28" s="2">
        <f t="shared" si="170"/>
        <v>2.5109922953055298E-2</v>
      </c>
      <c r="HA28" s="2">
        <f t="shared" si="171"/>
        <v>5.6194478705630421E-2</v>
      </c>
      <c r="HB28" s="2">
        <f t="shared" si="172"/>
        <v>0.29214308948882334</v>
      </c>
      <c r="HC28" s="2">
        <f t="shared" si="173"/>
        <v>0.72169664597937977</v>
      </c>
      <c r="HD28" s="2">
        <f t="shared" si="174"/>
        <v>8.5950768156081755E-2</v>
      </c>
      <c r="HE28" s="2">
        <f t="shared" si="175"/>
        <v>0.19235258586453841</v>
      </c>
      <c r="HF28" s="2">
        <f t="shared" si="176"/>
        <v>-1.348056440981545</v>
      </c>
      <c r="HG28" s="2">
        <f t="shared" si="177"/>
        <v>-1.3411685292903173</v>
      </c>
      <c r="HH28" s="2">
        <f t="shared" si="178"/>
        <v>-1.3446124851359311</v>
      </c>
      <c r="HI28" s="2">
        <f t="shared" si="179"/>
        <v>2.3148018069063552</v>
      </c>
      <c r="HJ28" s="2">
        <f t="shared" si="180"/>
        <v>0.19642419970295844</v>
      </c>
      <c r="HK28" s="2">
        <f t="shared" si="181"/>
        <v>0.35367481076989621</v>
      </c>
      <c r="HL28" s="2">
        <f t="shared" si="182"/>
        <v>0.6700083542188805</v>
      </c>
    </row>
    <row r="29" spans="1:220" ht="20.25">
      <c r="A29" s="88" t="s">
        <v>150</v>
      </c>
      <c r="B29" s="77">
        <v>3500</v>
      </c>
      <c r="C29" s="94">
        <f t="shared" si="126"/>
        <v>-2.4702606687198867</v>
      </c>
      <c r="D29" s="59">
        <f t="shared" si="183"/>
        <v>-2.0761187097332816</v>
      </c>
      <c r="E29" s="60">
        <f t="shared" si="184"/>
        <v>-2.4702606687198867</v>
      </c>
      <c r="F29" s="84">
        <v>46.1</v>
      </c>
      <c r="G29" s="84">
        <v>0.439</v>
      </c>
      <c r="H29" s="84">
        <v>4.1399999999999997</v>
      </c>
      <c r="I29" s="84">
        <v>12.15</v>
      </c>
      <c r="J29" s="84">
        <v>0.21</v>
      </c>
      <c r="K29" s="84">
        <v>27.2</v>
      </c>
      <c r="L29" s="84">
        <v>7.38</v>
      </c>
      <c r="M29" s="84">
        <v>0.42</v>
      </c>
      <c r="N29" s="84">
        <v>0.02</v>
      </c>
      <c r="O29" s="84"/>
      <c r="P29" s="84"/>
      <c r="Q29" s="84"/>
      <c r="R29" s="3">
        <f t="shared" si="185"/>
        <v>98.058999999999997</v>
      </c>
      <c r="S29" s="135">
        <v>4</v>
      </c>
      <c r="T29" s="288">
        <f t="shared" si="186"/>
        <v>0.35717972320000002</v>
      </c>
      <c r="U29" s="54">
        <f t="shared" si="187"/>
        <v>1732.7052320489147</v>
      </c>
      <c r="V29" s="54">
        <f t="shared" ca="1" si="188"/>
        <v>1732.6125402498137</v>
      </c>
      <c r="W29" s="54">
        <f t="shared" si="5"/>
        <v>1732.7052320489147</v>
      </c>
      <c r="X29" s="101">
        <f t="shared" ca="1" si="6"/>
        <v>2043.4660045896451</v>
      </c>
      <c r="Y29" s="101">
        <f t="shared" ca="1" si="7"/>
        <v>1906.1870217544465</v>
      </c>
      <c r="Z29" s="50">
        <f t="shared" ca="1" si="8"/>
        <v>2013.1631782697293</v>
      </c>
      <c r="AA29" s="50">
        <f t="shared" ca="1" si="9"/>
        <v>1967.5807352620495</v>
      </c>
      <c r="AB29" s="103">
        <f t="shared" ca="1" si="128"/>
        <v>85.317283455458451</v>
      </c>
      <c r="AC29" s="283">
        <v>13.3</v>
      </c>
      <c r="AD29" s="283">
        <f t="shared" ca="1" si="10"/>
        <v>13.455466951950939</v>
      </c>
      <c r="AE29" s="3">
        <f t="shared" ca="1" si="11"/>
        <v>125.45282243204399</v>
      </c>
      <c r="AF29" s="3">
        <f t="shared" ca="1" si="12"/>
        <v>215.01419683466722</v>
      </c>
      <c r="AG29" s="3">
        <f t="shared" ca="1" si="13"/>
        <v>583.46297257994343</v>
      </c>
      <c r="AH29" s="3">
        <f t="shared" ca="1" si="14"/>
        <v>288.79006282003957</v>
      </c>
      <c r="AI29" s="85">
        <f t="shared" si="189"/>
        <v>0.53843745241636221</v>
      </c>
      <c r="AJ29" s="85">
        <f t="shared" ca="1" si="15"/>
        <v>4.0760663935205148</v>
      </c>
      <c r="AK29" s="85">
        <f t="shared" si="16"/>
        <v>0.3102526966923605</v>
      </c>
      <c r="AL29" s="86">
        <f t="shared" ca="1" si="130"/>
        <v>0.28349225677652312</v>
      </c>
      <c r="AM29" s="85">
        <f t="shared" si="17"/>
        <v>0.35717972320000002</v>
      </c>
      <c r="AN29" s="85">
        <f t="shared" ca="1" si="190"/>
        <v>0.35717972320000069</v>
      </c>
      <c r="AO29" s="123">
        <f t="shared" ca="1" si="191"/>
        <v>41.47320570389158</v>
      </c>
      <c r="AP29" s="123">
        <f t="shared" ca="1" si="192"/>
        <v>6.5784057285868283</v>
      </c>
      <c r="AQ29" s="123">
        <f t="shared" ca="1" si="193"/>
        <v>51.94838856752159</v>
      </c>
      <c r="AR29" s="2"/>
      <c r="AS29" s="53">
        <f t="shared" ca="1" si="132"/>
        <v>83.412810480160147</v>
      </c>
      <c r="AT29" s="53">
        <f t="shared" ca="1" si="194"/>
        <v>93.368279632454502</v>
      </c>
      <c r="AU29" s="63">
        <f t="shared" ca="1" si="22"/>
        <v>0.35717972320000069</v>
      </c>
      <c r="AV29" s="53">
        <f t="shared" si="195"/>
        <v>1.687270000312884</v>
      </c>
      <c r="AW29" s="53">
        <f t="shared" ca="1" si="196"/>
        <v>1.7029989443869875</v>
      </c>
      <c r="AX29" s="54">
        <f t="shared" si="197"/>
        <v>1813.5200086393993</v>
      </c>
      <c r="AY29" s="54">
        <f t="shared" si="198"/>
        <v>1732.7052320489147</v>
      </c>
      <c r="AZ29" s="54">
        <f t="shared" ca="1" si="26"/>
        <v>1732.6125402498137</v>
      </c>
      <c r="BA29" s="34"/>
      <c r="BB29" s="63">
        <f t="shared" ca="1" si="27"/>
        <v>0.49495868014224476</v>
      </c>
      <c r="BC29" s="63">
        <f t="shared" ca="1" si="28"/>
        <v>7.7457513939977476E-2</v>
      </c>
      <c r="BD29" s="53">
        <f t="shared" si="29"/>
        <v>0.38080000000000003</v>
      </c>
      <c r="BE29" s="53">
        <f t="shared" ca="1" si="30"/>
        <v>0.53989836028448956</v>
      </c>
      <c r="BF29" s="53">
        <f t="shared" ca="1" si="31"/>
        <v>0.33631096174496944</v>
      </c>
      <c r="BH29" s="53">
        <f t="shared" si="32"/>
        <v>0.40542499999999998</v>
      </c>
      <c r="BI29" s="53">
        <f t="shared" si="33"/>
        <v>0.45001899999999995</v>
      </c>
      <c r="BK29" s="53">
        <f t="shared" si="134"/>
        <v>0.71088424897085245</v>
      </c>
      <c r="BL29" s="53">
        <f t="shared" si="135"/>
        <v>0.53659738349457087</v>
      </c>
      <c r="BM29" s="53">
        <f t="shared" si="136"/>
        <v>0.6720110426516438</v>
      </c>
      <c r="BN29" s="53">
        <f t="shared" si="137"/>
        <v>1.1498838717287074</v>
      </c>
      <c r="BO29" s="53">
        <f t="shared" si="138"/>
        <v>0.61192669091228602</v>
      </c>
      <c r="BP29" s="53">
        <f t="shared" si="139"/>
        <v>0.52085773096042887</v>
      </c>
      <c r="BQ29" s="54">
        <f t="shared" si="140"/>
        <v>1565.3055999999999</v>
      </c>
      <c r="BR29" s="262">
        <f t="shared" si="141"/>
        <v>12.089377492935283</v>
      </c>
      <c r="BS29" s="54">
        <f t="shared" si="142"/>
        <v>1970.5389689659748</v>
      </c>
      <c r="BU29" s="2">
        <f t="shared" si="37"/>
        <v>0.76731025299600542</v>
      </c>
      <c r="BV29" s="2">
        <f t="shared" si="38"/>
        <v>5.4943679599499372E-3</v>
      </c>
      <c r="BW29" s="2">
        <f t="shared" si="39"/>
        <v>8.1208316987053747E-2</v>
      </c>
      <c r="BX29" s="2">
        <f t="shared" si="40"/>
        <v>0.16910229645093947</v>
      </c>
      <c r="BY29" s="2">
        <f t="shared" si="41"/>
        <v>2.9602480969833662E-3</v>
      </c>
      <c r="BZ29" s="2">
        <f t="shared" si="42"/>
        <v>0.67493796526054595</v>
      </c>
      <c r="CA29" s="2">
        <f t="shared" si="43"/>
        <v>0.13159771754636235</v>
      </c>
      <c r="CB29" s="2">
        <f t="shared" si="44"/>
        <v>1.3552758954501452E-2</v>
      </c>
      <c r="CC29" s="2">
        <f t="shared" si="45"/>
        <v>4.2462845010615713E-4</v>
      </c>
      <c r="CD29" s="2">
        <f t="shared" si="46"/>
        <v>0</v>
      </c>
      <c r="CE29" s="2">
        <f t="shared" si="47"/>
        <v>0</v>
      </c>
      <c r="CF29" s="2">
        <f t="shared" si="199"/>
        <v>1.8465885527024481</v>
      </c>
      <c r="CG29" s="2">
        <f t="shared" si="200"/>
        <v>0.41552854417572399</v>
      </c>
      <c r="CH29" s="2">
        <f t="shared" si="201"/>
        <v>2.9754153690106176E-3</v>
      </c>
      <c r="CI29" s="2">
        <f t="shared" si="202"/>
        <v>4.3977483163862831E-2</v>
      </c>
      <c r="CJ29" s="2">
        <f t="shared" si="203"/>
        <v>9.1575514319885379E-2</v>
      </c>
      <c r="CK29" s="2">
        <f t="shared" si="204"/>
        <v>1.6030902458758871E-3</v>
      </c>
      <c r="CL29" s="2">
        <f t="shared" si="205"/>
        <v>0.36550533375330779</v>
      </c>
      <c r="CM29" s="2">
        <f t="shared" si="206"/>
        <v>7.1265316441917456E-2</v>
      </c>
      <c r="CN29" s="2">
        <f t="shared" si="207"/>
        <v>7.339349599382732E-3</v>
      </c>
      <c r="CO29" s="2">
        <f t="shared" si="208"/>
        <v>2.2995293103313203E-4</v>
      </c>
      <c r="CP29" s="2">
        <f t="shared" si="209"/>
        <v>0</v>
      </c>
      <c r="CQ29" s="2">
        <f t="shared" si="210"/>
        <v>0</v>
      </c>
      <c r="CR29" s="2"/>
      <c r="CS29" s="2">
        <f t="shared" ca="1" si="52"/>
        <v>0.69029969547089853</v>
      </c>
      <c r="CT29" s="2">
        <f t="shared" ca="1" si="53"/>
        <v>9.155749100329616E-2</v>
      </c>
      <c r="CU29" s="2">
        <f t="shared" ca="1" si="54"/>
        <v>1.2890418999385012</v>
      </c>
      <c r="CV29" s="2">
        <f t="shared" ca="1" si="211"/>
        <v>2.0708990864126959</v>
      </c>
      <c r="CW29" s="2">
        <f t="shared" ca="1" si="212"/>
        <v>0.33333333333333326</v>
      </c>
      <c r="CX29" s="2">
        <f t="shared" ca="1" si="213"/>
        <v>4.4211469116969937E-2</v>
      </c>
      <c r="CY29" s="2">
        <f t="shared" ca="1" si="214"/>
        <v>0.62245519754969669</v>
      </c>
      <c r="CZ29" s="2">
        <f t="shared" si="215"/>
        <v>0.52994925476098653</v>
      </c>
      <c r="DA29" s="2">
        <f t="shared" si="216"/>
        <v>0.41552854417572399</v>
      </c>
      <c r="DB29" s="2">
        <f t="shared" si="217"/>
        <v>-0.17826730063536247</v>
      </c>
      <c r="DC29" s="2"/>
      <c r="DD29" s="2">
        <f t="shared" si="218"/>
        <v>1813.5200086393993</v>
      </c>
      <c r="DE29" s="2">
        <f t="shared" si="219"/>
        <v>15580.148778023671</v>
      </c>
      <c r="DF29" s="2">
        <f t="shared" si="64"/>
        <v>7.4665130152431791</v>
      </c>
      <c r="DG29" s="2">
        <f t="shared" si="220"/>
        <v>1821.8552320489148</v>
      </c>
      <c r="DH29" s="2">
        <f t="shared" si="221"/>
        <v>1548.7052320489147</v>
      </c>
      <c r="DI29" s="2">
        <f t="shared" si="143"/>
        <v>13602.905801982104</v>
      </c>
      <c r="DJ29" s="2">
        <f t="shared" si="67"/>
        <v>7.4665130152431791</v>
      </c>
      <c r="DK29" s="2">
        <f t="shared" si="222"/>
        <v>1821.8552320489148</v>
      </c>
      <c r="DL29" s="2">
        <f t="shared" si="69"/>
        <v>4</v>
      </c>
      <c r="DM29" s="2">
        <f t="shared" si="223"/>
        <v>-0.17826730063536247</v>
      </c>
      <c r="DN29" s="2">
        <f t="shared" si="224"/>
        <v>0.52994925476098653</v>
      </c>
      <c r="DO29" s="2">
        <f t="shared" si="225"/>
        <v>0.41552854417572399</v>
      </c>
      <c r="DP29" s="2">
        <f t="shared" si="226"/>
        <v>1.687270000312884</v>
      </c>
      <c r="DQ29" s="2">
        <f t="shared" si="74"/>
        <v>15580.199999999995</v>
      </c>
      <c r="DR29" s="2">
        <f t="shared" si="227"/>
        <v>7.4662897880710437</v>
      </c>
      <c r="DS29" s="2">
        <f t="shared" si="228"/>
        <v>1813.5892563429047</v>
      </c>
      <c r="DT29" s="2">
        <f t="shared" si="229"/>
        <v>1548.7789387526459</v>
      </c>
      <c r="DU29" s="2">
        <f t="shared" si="230"/>
        <v>1732.7789387526459</v>
      </c>
      <c r="DV29" s="9">
        <f t="shared" ca="1" si="231"/>
        <v>1.7029989443869875</v>
      </c>
      <c r="DW29" s="2">
        <f t="shared" ca="1" si="80"/>
        <v>2.6678847818253901</v>
      </c>
      <c r="DX29" s="2">
        <f t="shared" si="232"/>
        <v>4650.3599999999997</v>
      </c>
      <c r="DY29" s="2">
        <f t="shared" ca="1" si="233"/>
        <v>1743.088768930337</v>
      </c>
      <c r="DZ29" s="2">
        <f t="shared" ca="1" si="234"/>
        <v>2.6418852341706915</v>
      </c>
      <c r="EA29" s="2"/>
      <c r="EB29" s="2">
        <f t="shared" si="83"/>
        <v>0.76731025299600542</v>
      </c>
      <c r="EC29" s="2">
        <f t="shared" si="84"/>
        <v>5.4943679599499372E-3</v>
      </c>
      <c r="ED29" s="2">
        <f t="shared" si="85"/>
        <v>4.0604158493526873E-2</v>
      </c>
      <c r="EE29" s="2">
        <f t="shared" si="86"/>
        <v>0.16910229645093947</v>
      </c>
      <c r="EF29" s="2">
        <f t="shared" si="87"/>
        <v>2.9602480969833662E-3</v>
      </c>
      <c r="EG29" s="2">
        <f t="shared" si="88"/>
        <v>0.67493796526054595</v>
      </c>
      <c r="EH29" s="2">
        <f t="shared" si="89"/>
        <v>0.13159771754636235</v>
      </c>
      <c r="EI29" s="2">
        <f t="shared" si="90"/>
        <v>6.7763794772507258E-3</v>
      </c>
      <c r="EJ29" s="2">
        <f t="shared" si="91"/>
        <v>2.1231422505307856E-4</v>
      </c>
      <c r="EK29" s="2">
        <f t="shared" si="92"/>
        <v>0</v>
      </c>
      <c r="EL29" s="2">
        <f t="shared" si="93"/>
        <v>0</v>
      </c>
      <c r="EM29" s="2">
        <f t="shared" si="235"/>
        <v>1.7989957005066168</v>
      </c>
      <c r="EN29" s="2">
        <f t="shared" si="236"/>
        <v>0.42652144903955158</v>
      </c>
      <c r="EO29" s="2">
        <f t="shared" si="237"/>
        <v>3.0541306788018801E-3</v>
      </c>
      <c r="EP29" s="2">
        <f t="shared" si="238"/>
        <v>2.2570458885528354E-2</v>
      </c>
      <c r="EQ29" s="2">
        <f t="shared" si="239"/>
        <v>9.399816597856149E-2</v>
      </c>
      <c r="ER29" s="2">
        <f t="shared" si="240"/>
        <v>1.6455003734304244E-3</v>
      </c>
      <c r="ES29" s="2">
        <f t="shared" si="241"/>
        <v>0.37517486288070395</v>
      </c>
      <c r="ET29" s="2">
        <f t="shared" si="242"/>
        <v>7.3150657063439886E-2</v>
      </c>
      <c r="EU29" s="2">
        <f t="shared" si="243"/>
        <v>3.7667569051679354E-3</v>
      </c>
      <c r="EV29" s="2">
        <f t="shared" si="244"/>
        <v>1.1801819481463383E-4</v>
      </c>
      <c r="EW29" s="2">
        <f t="shared" si="245"/>
        <v>0</v>
      </c>
      <c r="EX29" s="2">
        <f t="shared" si="246"/>
        <v>0</v>
      </c>
      <c r="EY29" s="2">
        <f t="shared" si="247"/>
        <v>1.0000000000000002</v>
      </c>
      <c r="EZ29" s="2">
        <f t="shared" si="97"/>
        <v>4.3977483163862831E-2</v>
      </c>
      <c r="FA29" s="2">
        <f t="shared" si="98"/>
        <v>0.46248144270859748</v>
      </c>
      <c r="FB29" s="2">
        <f t="shared" si="99"/>
        <v>1.4367080498614582</v>
      </c>
      <c r="FC29" s="2">
        <f t="shared" si="248"/>
        <v>1.0234903288885264</v>
      </c>
      <c r="FD29" s="2">
        <f t="shared" si="249"/>
        <v>2.2130408582326884</v>
      </c>
      <c r="FE29" s="2">
        <f t="shared" ca="1" si="102"/>
        <v>0.1299638079384392</v>
      </c>
      <c r="FF29" s="2">
        <f t="shared" ca="1" si="103"/>
        <v>0.1299638079384392</v>
      </c>
      <c r="FG29" s="2">
        <f t="shared" ca="1" si="104"/>
        <v>0.23402191740568376</v>
      </c>
      <c r="FH29" s="2">
        <f t="shared" ca="1" si="105"/>
        <v>-1.3875730274528799</v>
      </c>
      <c r="FI29" s="2">
        <f t="shared" ca="1" si="106"/>
        <v>9.6960805016572428E-3</v>
      </c>
      <c r="FJ29" s="2">
        <f t="shared" ca="1" si="107"/>
        <v>7.4606004975246998E-2</v>
      </c>
      <c r="FK29" s="2">
        <f t="shared" ca="1" si="108"/>
        <v>0.19885661955707787</v>
      </c>
      <c r="FL29" s="2">
        <f t="shared" ca="1" si="109"/>
        <v>7.1027552329884919E-2</v>
      </c>
      <c r="FM29" s="2">
        <f t="shared" ca="1" si="250"/>
        <v>0.35717972320000069</v>
      </c>
      <c r="FN29" s="2">
        <f t="shared" ca="1" si="251"/>
        <v>7.1027552329884919E-2</v>
      </c>
      <c r="FO29" s="2">
        <f t="shared" ca="1" si="110"/>
        <v>7.102755232988478E-2</v>
      </c>
      <c r="FP29" s="2">
        <f t="shared" ca="1" si="252"/>
        <v>1.8673655926490902</v>
      </c>
      <c r="FQ29" s="2">
        <f t="shared" ca="1" si="253"/>
        <v>0.13263440735090981</v>
      </c>
      <c r="FR29" s="2">
        <f t="shared" si="148"/>
        <v>0.33333333333333331</v>
      </c>
      <c r="FS29" s="2">
        <f t="shared" ca="1" si="254"/>
        <v>4.4211469116969937E-2</v>
      </c>
      <c r="FT29" s="2">
        <f t="shared" ca="1" si="255"/>
        <v>0.62245519754969669</v>
      </c>
      <c r="FU29" s="2">
        <f t="shared" si="256"/>
        <v>20.026666666666664</v>
      </c>
      <c r="FV29" s="2">
        <f t="shared" ca="1" si="257"/>
        <v>3.1765940560542898</v>
      </c>
      <c r="FW29" s="2">
        <f t="shared" ca="1" si="258"/>
        <v>25.084944461252775</v>
      </c>
      <c r="FX29" s="2">
        <f t="shared" ca="1" si="259"/>
        <v>48.28820518397373</v>
      </c>
      <c r="FY29" s="2">
        <f t="shared" ca="1" si="260"/>
        <v>41.47320570389158</v>
      </c>
      <c r="FZ29" s="2">
        <f t="shared" ca="1" si="261"/>
        <v>6.5784057285868283</v>
      </c>
      <c r="GA29" s="2">
        <f t="shared" ca="1" si="262"/>
        <v>51.94838856752159</v>
      </c>
      <c r="GB29" s="2">
        <f t="shared" ca="1" si="263"/>
        <v>93.368279632454502</v>
      </c>
      <c r="GC29" s="2">
        <f t="shared" si="120"/>
        <v>4000000000</v>
      </c>
      <c r="GD29" s="2">
        <f t="shared" si="149"/>
        <v>38</v>
      </c>
      <c r="GE29">
        <f t="shared" si="150"/>
        <v>1570.0092115999998</v>
      </c>
      <c r="GF29">
        <f t="shared" si="151"/>
        <v>1569.9359999999999</v>
      </c>
      <c r="GG29">
        <f t="shared" si="152"/>
        <v>1874.2760000000003</v>
      </c>
      <c r="GH29" s="2">
        <f t="shared" si="153"/>
        <v>0.5348269437107005</v>
      </c>
      <c r="GI29" s="2">
        <f t="shared" si="154"/>
        <v>0.98699999999999988</v>
      </c>
      <c r="GJ29" s="2">
        <f t="shared" si="155"/>
        <v>-1.1860000000000004</v>
      </c>
      <c r="GK29" s="2">
        <f t="shared" si="156"/>
        <v>1.2039999999999997</v>
      </c>
      <c r="GL29" s="2">
        <f t="shared" si="157"/>
        <v>-0.5348269437107005</v>
      </c>
      <c r="GM29">
        <f t="shared" si="158"/>
        <v>0.32834994462901457</v>
      </c>
      <c r="GN29">
        <f t="shared" si="159"/>
        <v>3.5400617873621851E-2</v>
      </c>
      <c r="GO29">
        <f t="shared" si="160"/>
        <v>-0.13458529707177633</v>
      </c>
      <c r="GP29">
        <f t="shared" si="161"/>
        <v>-0.22210421250444379</v>
      </c>
      <c r="GQ29">
        <f t="shared" si="162"/>
        <v>0.27325581395348841</v>
      </c>
      <c r="GR29">
        <f t="shared" si="163"/>
        <v>0.10781368613787694</v>
      </c>
      <c r="GS29">
        <f t="shared" si="164"/>
        <v>0.12291953330628931</v>
      </c>
      <c r="GT29">
        <f t="shared" si="165"/>
        <v>4.5283326368835289E-3</v>
      </c>
      <c r="GU29">
        <f t="shared" si="166"/>
        <v>0.64073934409738831</v>
      </c>
      <c r="GV29">
        <f t="shared" si="167"/>
        <v>-0.25820503975555037</v>
      </c>
      <c r="GW29">
        <f t="shared" si="168"/>
        <v>0.71088424897085245</v>
      </c>
      <c r="GX29" s="2"/>
      <c r="GY29" s="15">
        <f t="shared" si="169"/>
        <v>0.21317103767745491</v>
      </c>
      <c r="GZ29" s="2">
        <f t="shared" si="170"/>
        <v>2.5624589564330235E-2</v>
      </c>
      <c r="HA29" s="2">
        <f t="shared" si="171"/>
        <v>5.8800698669775844E-2</v>
      </c>
      <c r="HB29" s="2">
        <f t="shared" si="172"/>
        <v>0.29759632591156099</v>
      </c>
      <c r="HC29" s="2">
        <f t="shared" si="173"/>
        <v>0.71630937319032828</v>
      </c>
      <c r="HD29" s="2">
        <f t="shared" si="174"/>
        <v>8.6105194631822479E-2</v>
      </c>
      <c r="HE29" s="2">
        <f t="shared" si="175"/>
        <v>0.19758543217784921</v>
      </c>
      <c r="HF29" s="2">
        <f t="shared" si="176"/>
        <v>-1.3419276009879555</v>
      </c>
      <c r="HG29" s="2">
        <f t="shared" si="177"/>
        <v>-1.3363160002086649</v>
      </c>
      <c r="HH29" s="2">
        <f t="shared" si="178"/>
        <v>-1.3391218005983103</v>
      </c>
      <c r="HI29" s="2">
        <f t="shared" si="179"/>
        <v>2.3499475822457518</v>
      </c>
      <c r="HJ29" s="2">
        <f t="shared" si="180"/>
        <v>0.19179828993861495</v>
      </c>
      <c r="HK29" s="2">
        <f t="shared" si="181"/>
        <v>0.35367481076989621</v>
      </c>
      <c r="HL29" s="2">
        <f t="shared" si="182"/>
        <v>0.66008230452674888</v>
      </c>
    </row>
    <row r="30" spans="1:220" ht="20.25">
      <c r="A30" s="88" t="s">
        <v>150</v>
      </c>
      <c r="B30" s="77">
        <v>3500</v>
      </c>
      <c r="C30" s="94">
        <f t="shared" si="126"/>
        <v>-2.4681338074324621</v>
      </c>
      <c r="D30" s="59">
        <f t="shared" si="183"/>
        <v>-2.0740594463425093</v>
      </c>
      <c r="E30" s="60">
        <f t="shared" si="184"/>
        <v>-2.4681338074324621</v>
      </c>
      <c r="F30" s="84">
        <v>45.8</v>
      </c>
      <c r="G30" s="84">
        <v>0.44700000000000001</v>
      </c>
      <c r="H30" s="84">
        <v>4.0999999999999996</v>
      </c>
      <c r="I30" s="84">
        <v>12.24</v>
      </c>
      <c r="J30" s="84">
        <v>0.19</v>
      </c>
      <c r="K30" s="84">
        <v>27.1</v>
      </c>
      <c r="L30" s="84">
        <v>7.59</v>
      </c>
      <c r="M30" s="84">
        <v>0.47</v>
      </c>
      <c r="N30" s="84">
        <v>0.02</v>
      </c>
      <c r="O30" s="84"/>
      <c r="P30" s="84"/>
      <c r="Q30" s="84"/>
      <c r="R30" s="3">
        <f t="shared" si="185"/>
        <v>97.957000000000008</v>
      </c>
      <c r="S30" s="135">
        <v>4</v>
      </c>
      <c r="T30" s="288">
        <f t="shared" si="186"/>
        <v>0.35641284369999998</v>
      </c>
      <c r="U30" s="54">
        <f t="shared" si="187"/>
        <v>1733.0913415431683</v>
      </c>
      <c r="V30" s="54">
        <f t="shared" ca="1" si="188"/>
        <v>1732.9409086328526</v>
      </c>
      <c r="W30" s="54">
        <f t="shared" si="5"/>
        <v>1733.0913415431683</v>
      </c>
      <c r="X30" s="101">
        <f t="shared" ca="1" si="6"/>
        <v>2041.0268632865552</v>
      </c>
      <c r="Y30" s="101">
        <f t="shared" ca="1" si="7"/>
        <v>1906.9734916823261</v>
      </c>
      <c r="Z30" s="50">
        <f t="shared" ca="1" si="8"/>
        <v>2008.3178886597041</v>
      </c>
      <c r="AA30" s="50">
        <f t="shared" ca="1" si="9"/>
        <v>1963.4502644737206</v>
      </c>
      <c r="AB30" s="103">
        <f t="shared" ca="1" si="128"/>
        <v>83.055696632719318</v>
      </c>
      <c r="AC30" s="283">
        <v>13.3</v>
      </c>
      <c r="AD30" s="283">
        <f t="shared" ca="1" si="10"/>
        <v>13.457881842848728</v>
      </c>
      <c r="AE30" s="3">
        <f t="shared" ca="1" si="11"/>
        <v>125.46622575230623</v>
      </c>
      <c r="AF30" s="3">
        <f t="shared" ca="1" si="12"/>
        <v>215.01635718200168</v>
      </c>
      <c r="AG30" s="3">
        <f t="shared" ca="1" si="13"/>
        <v>583.51944659775211</v>
      </c>
      <c r="AH30" s="3">
        <f t="shared" ca="1" si="14"/>
        <v>284.34088321226301</v>
      </c>
      <c r="AI30" s="85">
        <f t="shared" si="189"/>
        <v>0.54497548209912716</v>
      </c>
      <c r="AJ30" s="85">
        <f t="shared" ca="1" si="15"/>
        <v>4.1097314309496502</v>
      </c>
      <c r="AK30" s="85">
        <f t="shared" si="16"/>
        <v>0.3090141375704018</v>
      </c>
      <c r="AL30" s="86">
        <f t="shared" ca="1" si="130"/>
        <v>0.28199106161107484</v>
      </c>
      <c r="AM30" s="85">
        <f t="shared" si="17"/>
        <v>0.35641284369999998</v>
      </c>
      <c r="AN30" s="85">
        <f t="shared" ca="1" si="190"/>
        <v>0.35641284369999948</v>
      </c>
      <c r="AO30" s="123">
        <f t="shared" ca="1" si="191"/>
        <v>41.4667545097033</v>
      </c>
      <c r="AP30" s="123">
        <f t="shared" ca="1" si="192"/>
        <v>6.6128066408335631</v>
      </c>
      <c r="AQ30" s="123">
        <f t="shared" ca="1" si="193"/>
        <v>51.920438849463139</v>
      </c>
      <c r="AR30" s="2"/>
      <c r="AS30" s="53">
        <f t="shared" ca="1" si="132"/>
        <v>83.303173198957722</v>
      </c>
      <c r="AT30" s="53">
        <f t="shared" ca="1" si="194"/>
        <v>93.332562792464799</v>
      </c>
      <c r="AU30" s="63">
        <f t="shared" ca="1" si="22"/>
        <v>0.35641284369999948</v>
      </c>
      <c r="AV30" s="53">
        <f t="shared" si="195"/>
        <v>1.690600147616514</v>
      </c>
      <c r="AW30" s="53">
        <f t="shared" ca="1" si="196"/>
        <v>1.7069354916411192</v>
      </c>
      <c r="AX30" s="54">
        <f t="shared" si="197"/>
        <v>1813.9622408692367</v>
      </c>
      <c r="AY30" s="54">
        <f t="shared" si="198"/>
        <v>1733.0913415431683</v>
      </c>
      <c r="AZ30" s="54">
        <f t="shared" ca="1" si="26"/>
        <v>1732.9409086328526</v>
      </c>
      <c r="BA30" s="34"/>
      <c r="BB30" s="63">
        <f t="shared" ca="1" si="27"/>
        <v>0.48728604482700782</v>
      </c>
      <c r="BC30" s="63">
        <f t="shared" ca="1" si="28"/>
        <v>7.74749710567922E-2</v>
      </c>
      <c r="BD30" s="53">
        <f t="shared" si="29"/>
        <v>0.36798500000000012</v>
      </c>
      <c r="BE30" s="53">
        <f t="shared" ca="1" si="30"/>
        <v>0.53579408965401565</v>
      </c>
      <c r="BF30" s="53">
        <f t="shared" ca="1" si="31"/>
        <v>0.33699033523576083</v>
      </c>
      <c r="BH30" s="53">
        <f t="shared" si="32"/>
        <v>0.39132800000000001</v>
      </c>
      <c r="BI30" s="53">
        <f t="shared" si="33"/>
        <v>0.438778</v>
      </c>
      <c r="BK30" s="53">
        <f t="shared" si="134"/>
        <v>0.71200927685020621</v>
      </c>
      <c r="BL30" s="53">
        <f t="shared" si="135"/>
        <v>0.52335689655221673</v>
      </c>
      <c r="BM30" s="53">
        <f t="shared" si="136"/>
        <v>0.66334554417974323</v>
      </c>
      <c r="BN30" s="53">
        <f t="shared" si="137"/>
        <v>1.1015385128837791</v>
      </c>
      <c r="BO30" s="53">
        <f t="shared" si="138"/>
        <v>0.56159136517618768</v>
      </c>
      <c r="BP30" s="53">
        <f t="shared" si="139"/>
        <v>0.4754561664126733</v>
      </c>
      <c r="BQ30" s="54">
        <f t="shared" si="140"/>
        <v>1563.7344000000001</v>
      </c>
      <c r="BR30" s="262">
        <f t="shared" si="141"/>
        <v>11.932221875776762</v>
      </c>
      <c r="BS30" s="54">
        <f t="shared" si="142"/>
        <v>1965.7229703453233</v>
      </c>
      <c r="BU30" s="2">
        <f t="shared" si="37"/>
        <v>0.76231691078561914</v>
      </c>
      <c r="BV30" s="2">
        <f t="shared" si="38"/>
        <v>5.5944931163954938E-3</v>
      </c>
      <c r="BW30" s="2">
        <f t="shared" si="39"/>
        <v>8.042369556688897E-2</v>
      </c>
      <c r="BX30" s="2">
        <f t="shared" si="40"/>
        <v>0.17035490605427978</v>
      </c>
      <c r="BY30" s="2">
        <f t="shared" si="41"/>
        <v>2.6783197067944743E-3</v>
      </c>
      <c r="BZ30" s="2">
        <f t="shared" si="42"/>
        <v>0.67245657568238226</v>
      </c>
      <c r="CA30" s="2">
        <f t="shared" si="43"/>
        <v>0.13534236804564909</v>
      </c>
      <c r="CB30" s="2">
        <f t="shared" si="44"/>
        <v>1.5166182639561149E-2</v>
      </c>
      <c r="CC30" s="2">
        <f t="shared" si="45"/>
        <v>4.2462845010615713E-4</v>
      </c>
      <c r="CD30" s="2">
        <f t="shared" si="46"/>
        <v>0</v>
      </c>
      <c r="CE30" s="2">
        <f t="shared" si="47"/>
        <v>0</v>
      </c>
      <c r="CF30" s="2">
        <f t="shared" si="199"/>
        <v>1.8447580800476764</v>
      </c>
      <c r="CG30" s="2">
        <f t="shared" si="200"/>
        <v>0.41323408149317747</v>
      </c>
      <c r="CH30" s="2">
        <f t="shared" si="201"/>
        <v>3.0326432375625688E-3</v>
      </c>
      <c r="CI30" s="2">
        <f t="shared" si="202"/>
        <v>4.3595795262656056E-2</v>
      </c>
      <c r="CJ30" s="2">
        <f t="shared" si="203"/>
        <v>9.2345390919701023E-2</v>
      </c>
      <c r="CK30" s="2">
        <f t="shared" si="204"/>
        <v>1.4518541676344116E-3</v>
      </c>
      <c r="CL30" s="2">
        <f t="shared" si="205"/>
        <v>0.36452290571618101</v>
      </c>
      <c r="CM30" s="2">
        <f t="shared" si="206"/>
        <v>7.336591692399648E-2</v>
      </c>
      <c r="CN30" s="2">
        <f t="shared" si="207"/>
        <v>8.2212311758348231E-3</v>
      </c>
      <c r="CO30" s="2">
        <f t="shared" si="208"/>
        <v>2.3018110325619657E-4</v>
      </c>
      <c r="CP30" s="2">
        <f t="shared" si="209"/>
        <v>0</v>
      </c>
      <c r="CQ30" s="2">
        <f t="shared" si="210"/>
        <v>0</v>
      </c>
      <c r="CR30" s="2"/>
      <c r="CS30" s="2">
        <f t="shared" ca="1" si="52"/>
        <v>0.69019231873673936</v>
      </c>
      <c r="CT30" s="2">
        <f t="shared" ca="1" si="53"/>
        <v>9.2036278926006451E-2</v>
      </c>
      <c r="CU30" s="2">
        <f t="shared" ca="1" si="54"/>
        <v>1.2883483585474724</v>
      </c>
      <c r="CV30" s="2">
        <f t="shared" ca="1" si="211"/>
        <v>2.0705769562102181</v>
      </c>
      <c r="CW30" s="2">
        <f t="shared" ca="1" si="212"/>
        <v>0.33333333333333331</v>
      </c>
      <c r="CX30" s="2">
        <f t="shared" ca="1" si="213"/>
        <v>4.4449581383567929E-2</v>
      </c>
      <c r="CY30" s="2">
        <f t="shared" ca="1" si="214"/>
        <v>0.62221708528309883</v>
      </c>
      <c r="CZ30" s="2">
        <f t="shared" si="215"/>
        <v>0.53168606772751292</v>
      </c>
      <c r="DA30" s="2">
        <f t="shared" si="216"/>
        <v>0.41323408149317747</v>
      </c>
      <c r="DB30" s="2">
        <f t="shared" si="217"/>
        <v>-0.17727202157993788</v>
      </c>
      <c r="DC30" s="2"/>
      <c r="DD30" s="2">
        <f t="shared" si="218"/>
        <v>1813.9622408692367</v>
      </c>
      <c r="DE30" s="2">
        <f t="shared" si="219"/>
        <v>15580.148778023671</v>
      </c>
      <c r="DF30" s="2">
        <f t="shared" si="64"/>
        <v>7.4649309572037579</v>
      </c>
      <c r="DG30" s="2">
        <f t="shared" si="220"/>
        <v>1822.2413415431683</v>
      </c>
      <c r="DH30" s="2">
        <f t="shared" si="221"/>
        <v>1549.0913415431683</v>
      </c>
      <c r="DI30" s="2">
        <f t="shared" si="143"/>
        <v>13602.905801982104</v>
      </c>
      <c r="DJ30" s="2">
        <f t="shared" si="67"/>
        <v>7.4649309572037579</v>
      </c>
      <c r="DK30" s="2">
        <f t="shared" si="222"/>
        <v>1822.2413415431683</v>
      </c>
      <c r="DL30" s="2">
        <f t="shared" si="69"/>
        <v>4</v>
      </c>
      <c r="DM30" s="2">
        <f t="shared" si="223"/>
        <v>-0.17727202157993788</v>
      </c>
      <c r="DN30" s="2">
        <f t="shared" si="224"/>
        <v>0.53168606772751292</v>
      </c>
      <c r="DO30" s="2">
        <f t="shared" si="225"/>
        <v>0.41323408149317747</v>
      </c>
      <c r="DP30" s="2">
        <f t="shared" si="226"/>
        <v>1.690600147616514</v>
      </c>
      <c r="DQ30" s="2">
        <f t="shared" si="74"/>
        <v>15580.199999999995</v>
      </c>
      <c r="DR30" s="2">
        <f t="shared" si="227"/>
        <v>7.4647077300316225</v>
      </c>
      <c r="DS30" s="2">
        <f t="shared" si="228"/>
        <v>1814.0315164736521</v>
      </c>
      <c r="DT30" s="2">
        <f t="shared" si="229"/>
        <v>1549.1650754145294</v>
      </c>
      <c r="DU30" s="2">
        <f t="shared" si="230"/>
        <v>1733.1650754145294</v>
      </c>
      <c r="DV30" s="9">
        <f t="shared" ca="1" si="231"/>
        <v>1.7069354916411192</v>
      </c>
      <c r="DW30" s="2">
        <f t="shared" ca="1" si="80"/>
        <v>2.6676361526126477</v>
      </c>
      <c r="DX30" s="2">
        <f t="shared" si="232"/>
        <v>4650.3599999999997</v>
      </c>
      <c r="DY30" s="2">
        <f t="shared" ca="1" si="233"/>
        <v>1743.2512284126522</v>
      </c>
      <c r="DZ30" s="2">
        <f t="shared" ca="1" si="234"/>
        <v>2.6553333019316683</v>
      </c>
      <c r="EA30" s="2"/>
      <c r="EB30" s="2">
        <f t="shared" si="83"/>
        <v>0.76231691078561914</v>
      </c>
      <c r="EC30" s="2">
        <f t="shared" si="84"/>
        <v>5.5944931163954938E-3</v>
      </c>
      <c r="ED30" s="2">
        <f t="shared" si="85"/>
        <v>4.0211847783444485E-2</v>
      </c>
      <c r="EE30" s="2">
        <f t="shared" si="86"/>
        <v>0.17035490605427978</v>
      </c>
      <c r="EF30" s="2">
        <f t="shared" si="87"/>
        <v>2.6783197067944743E-3</v>
      </c>
      <c r="EG30" s="2">
        <f t="shared" si="88"/>
        <v>0.67245657568238226</v>
      </c>
      <c r="EH30" s="2">
        <f t="shared" si="89"/>
        <v>0.13534236804564909</v>
      </c>
      <c r="EI30" s="2">
        <f t="shared" si="90"/>
        <v>7.5830913197805746E-3</v>
      </c>
      <c r="EJ30" s="2">
        <f t="shared" si="91"/>
        <v>2.1231422505307856E-4</v>
      </c>
      <c r="EK30" s="2">
        <f t="shared" si="92"/>
        <v>0</v>
      </c>
      <c r="EL30" s="2">
        <f t="shared" si="93"/>
        <v>0</v>
      </c>
      <c r="EM30" s="2">
        <f t="shared" si="235"/>
        <v>1.7967508267193981</v>
      </c>
      <c r="EN30" s="2">
        <f t="shared" si="236"/>
        <v>0.42427525255546833</v>
      </c>
      <c r="EO30" s="2">
        <f t="shared" si="237"/>
        <v>3.1136722094127055E-3</v>
      </c>
      <c r="EP30" s="2">
        <f t="shared" si="238"/>
        <v>2.2380314056604823E-2</v>
      </c>
      <c r="EQ30" s="2">
        <f t="shared" si="239"/>
        <v>9.4812760634885973E-2</v>
      </c>
      <c r="ER30" s="2">
        <f t="shared" si="240"/>
        <v>1.4906461524688379E-3</v>
      </c>
      <c r="ES30" s="2">
        <f t="shared" si="241"/>
        <v>0.37426256645179273</v>
      </c>
      <c r="ET30" s="2">
        <f t="shared" si="242"/>
        <v>7.5326175467949716E-2</v>
      </c>
      <c r="EU30" s="2">
        <f t="shared" si="243"/>
        <v>4.2204468237959187E-3</v>
      </c>
      <c r="EV30" s="2">
        <f t="shared" si="244"/>
        <v>1.1816564762111895E-4</v>
      </c>
      <c r="EW30" s="2">
        <f t="shared" si="245"/>
        <v>0</v>
      </c>
      <c r="EX30" s="2">
        <f t="shared" si="246"/>
        <v>0</v>
      </c>
      <c r="EY30" s="2">
        <f t="shared" si="247"/>
        <v>1.0000000000000002</v>
      </c>
      <c r="EZ30" s="2">
        <f t="shared" si="97"/>
        <v>4.3595795262656056E-2</v>
      </c>
      <c r="FA30" s="2">
        <f t="shared" si="98"/>
        <v>0.45986251999339611</v>
      </c>
      <c r="FB30" s="2">
        <f t="shared" si="99"/>
        <v>1.4338389162225225</v>
      </c>
      <c r="FC30" s="2">
        <f t="shared" si="248"/>
        <v>1.0282277524714605</v>
      </c>
      <c r="FD30" s="2">
        <f t="shared" si="249"/>
        <v>2.2359459789987373</v>
      </c>
      <c r="FE30" s="2">
        <f t="shared" ca="1" si="102"/>
        <v>0.13195769692794015</v>
      </c>
      <c r="FF30" s="2">
        <f t="shared" ca="1" si="103"/>
        <v>0.13195769692794015</v>
      </c>
      <c r="FG30" s="2">
        <f t="shared" ca="1" si="104"/>
        <v>0.24149093171845526</v>
      </c>
      <c r="FH30" s="2">
        <f t="shared" ca="1" si="105"/>
        <v>-1.3946595929947354</v>
      </c>
      <c r="FI30" s="2">
        <f t="shared" ca="1" si="106"/>
        <v>9.898822020507991E-3</v>
      </c>
      <c r="FJ30" s="2">
        <f t="shared" ca="1" si="107"/>
        <v>7.5015116593869988E-2</v>
      </c>
      <c r="FK30" s="2">
        <f t="shared" ca="1" si="108"/>
        <v>0.20043446317662225</v>
      </c>
      <c r="FL30" s="2">
        <f t="shared" ca="1" si="109"/>
        <v>7.143741699626277E-2</v>
      </c>
      <c r="FM30" s="2">
        <f t="shared" ca="1" si="250"/>
        <v>0.35641284369999948</v>
      </c>
      <c r="FN30" s="2">
        <f t="shared" ca="1" si="251"/>
        <v>7.1437416996262756E-2</v>
      </c>
      <c r="FO30" s="2">
        <f t="shared" ca="1" si="110"/>
        <v>7.1437416996262867E-2</v>
      </c>
      <c r="FP30" s="2">
        <f t="shared" ca="1" si="252"/>
        <v>1.8666512558492963</v>
      </c>
      <c r="FQ30" s="2">
        <f t="shared" ca="1" si="253"/>
        <v>0.13334874415070375</v>
      </c>
      <c r="FR30" s="2">
        <f t="shared" si="148"/>
        <v>0.33333333333333331</v>
      </c>
      <c r="FS30" s="2">
        <f t="shared" ca="1" si="254"/>
        <v>4.4449581383567915E-2</v>
      </c>
      <c r="FT30" s="2">
        <f t="shared" ca="1" si="255"/>
        <v>0.62221708528309871</v>
      </c>
      <c r="FU30" s="2">
        <f t="shared" si="256"/>
        <v>20.026666666666664</v>
      </c>
      <c r="FV30" s="2">
        <f t="shared" ca="1" si="257"/>
        <v>3.1937024224093546</v>
      </c>
      <c r="FW30" s="2">
        <f t="shared" ca="1" si="258"/>
        <v>25.075348536908876</v>
      </c>
      <c r="FX30" s="2">
        <f t="shared" ca="1" si="259"/>
        <v>48.295717625984892</v>
      </c>
      <c r="FY30" s="2">
        <f t="shared" ca="1" si="260"/>
        <v>41.4667545097033</v>
      </c>
      <c r="FZ30" s="2">
        <f t="shared" ca="1" si="261"/>
        <v>6.6128066408335631</v>
      </c>
      <c r="GA30" s="2">
        <f t="shared" ca="1" si="262"/>
        <v>51.920438849463139</v>
      </c>
      <c r="GB30" s="2">
        <f t="shared" ca="1" si="263"/>
        <v>93.332562792464799</v>
      </c>
      <c r="GC30" s="2">
        <f t="shared" si="120"/>
        <v>4000000000</v>
      </c>
      <c r="GD30" s="2">
        <f t="shared" si="149"/>
        <v>38</v>
      </c>
      <c r="GE30">
        <f t="shared" si="150"/>
        <v>1570.0092115999998</v>
      </c>
      <c r="GF30">
        <f t="shared" si="151"/>
        <v>1569.9359999999999</v>
      </c>
      <c r="GG30">
        <f t="shared" si="152"/>
        <v>1874.2760000000003</v>
      </c>
      <c r="GH30" s="2">
        <f t="shared" si="153"/>
        <v>0.5360956218149705</v>
      </c>
      <c r="GI30" s="2">
        <f t="shared" si="154"/>
        <v>0.98699999999999988</v>
      </c>
      <c r="GJ30" s="2">
        <f t="shared" si="155"/>
        <v>-1.1860000000000004</v>
      </c>
      <c r="GK30" s="2">
        <f t="shared" si="156"/>
        <v>1.2039999999999997</v>
      </c>
      <c r="GL30" s="2">
        <f t="shared" si="157"/>
        <v>-0.5360956218149705</v>
      </c>
      <c r="GM30">
        <f t="shared" si="158"/>
        <v>0.32834994462901457</v>
      </c>
      <c r="GN30">
        <f t="shared" si="159"/>
        <v>3.5400617873621851E-2</v>
      </c>
      <c r="GO30">
        <f t="shared" si="160"/>
        <v>-0.13458529707177633</v>
      </c>
      <c r="GP30">
        <f t="shared" si="161"/>
        <v>-0.22263107218229677</v>
      </c>
      <c r="GQ30">
        <f t="shared" si="162"/>
        <v>0.27325581395348841</v>
      </c>
      <c r="GR30">
        <f t="shared" si="163"/>
        <v>0.10781368613787694</v>
      </c>
      <c r="GS30">
        <f t="shared" si="164"/>
        <v>0.1234463929841423</v>
      </c>
      <c r="GT30">
        <f t="shared" si="165"/>
        <v>4.5283326368835289E-3</v>
      </c>
      <c r="GU30">
        <f t="shared" si="166"/>
        <v>0.64154151676133653</v>
      </c>
      <c r="GV30">
        <f t="shared" si="167"/>
        <v>-0.25788218454014489</v>
      </c>
      <c r="GW30">
        <f t="shared" si="168"/>
        <v>0.71200927685020621</v>
      </c>
      <c r="GX30" s="2"/>
      <c r="GY30" s="15">
        <f t="shared" si="169"/>
        <v>0.21172483775898576</v>
      </c>
      <c r="GZ30" s="2">
        <f t="shared" si="170"/>
        <v>2.5493986266017531E-2</v>
      </c>
      <c r="HA30" s="2">
        <f t="shared" si="171"/>
        <v>5.2151505234279832E-2</v>
      </c>
      <c r="HB30" s="2">
        <f t="shared" si="172"/>
        <v>0.28937032925928313</v>
      </c>
      <c r="HC30" s="2">
        <f t="shared" si="173"/>
        <v>0.73167431609505118</v>
      </c>
      <c r="HD30" s="2">
        <f t="shared" si="174"/>
        <v>8.8101590551028036E-2</v>
      </c>
      <c r="HE30" s="2">
        <f t="shared" si="175"/>
        <v>0.18022409335392076</v>
      </c>
      <c r="HF30" s="2">
        <f t="shared" si="176"/>
        <v>-1.3610012344977385</v>
      </c>
      <c r="HG30" s="2">
        <f t="shared" si="177"/>
        <v>-1.3510297111310134</v>
      </c>
      <c r="HH30" s="2">
        <f t="shared" si="178"/>
        <v>-1.3560154728143758</v>
      </c>
      <c r="HI30" s="2">
        <f t="shared" si="179"/>
        <v>2.233752518295375</v>
      </c>
      <c r="HJ30" s="2">
        <f t="shared" si="180"/>
        <v>0.20723028139222432</v>
      </c>
      <c r="HK30" s="2">
        <f t="shared" si="181"/>
        <v>0.3535780735556433</v>
      </c>
      <c r="HL30" s="2">
        <f t="shared" si="182"/>
        <v>0.65522875816993464</v>
      </c>
    </row>
    <row r="31" spans="1:220" ht="20.25">
      <c r="A31" s="88" t="s">
        <v>150</v>
      </c>
      <c r="B31" s="77">
        <v>3500</v>
      </c>
      <c r="C31" s="94">
        <f t="shared" si="126"/>
        <v>-2.5015003566820617</v>
      </c>
      <c r="D31" s="59">
        <f t="shared" si="183"/>
        <v>-2.1063618996221125</v>
      </c>
      <c r="E31" s="60">
        <f t="shared" si="184"/>
        <v>-2.5015003566820617</v>
      </c>
      <c r="F31" s="84">
        <v>46.3</v>
      </c>
      <c r="G31" s="84">
        <v>0.44400000000000001</v>
      </c>
      <c r="H31" s="84">
        <v>4.18</v>
      </c>
      <c r="I31" s="84">
        <v>12.15</v>
      </c>
      <c r="J31" s="84">
        <v>0.2</v>
      </c>
      <c r="K31" s="84">
        <v>26.8</v>
      </c>
      <c r="L31" s="84">
        <v>7.48</v>
      </c>
      <c r="M31" s="84">
        <v>0.49</v>
      </c>
      <c r="N31" s="84">
        <v>0.02</v>
      </c>
      <c r="O31" s="84"/>
      <c r="P31" s="84"/>
      <c r="Q31" s="84"/>
      <c r="R31" s="3">
        <f t="shared" si="185"/>
        <v>98.063999999999993</v>
      </c>
      <c r="S31" s="135">
        <v>4</v>
      </c>
      <c r="T31" s="288">
        <f t="shared" si="186"/>
        <v>0.3576555837</v>
      </c>
      <c r="U31" s="54">
        <f t="shared" si="187"/>
        <v>1727.0514604975137</v>
      </c>
      <c r="V31" s="54">
        <f t="shared" ca="1" si="188"/>
        <v>1727.1825620658444</v>
      </c>
      <c r="W31" s="54">
        <f t="shared" si="5"/>
        <v>1727.0514604975137</v>
      </c>
      <c r="X31" s="101">
        <f t="shared" ca="1" si="6"/>
        <v>2028.0036964525809</v>
      </c>
      <c r="Y31" s="101">
        <f t="shared" ca="1" si="7"/>
        <v>1893.1817667685359</v>
      </c>
      <c r="Z31" s="50">
        <f t="shared" ca="1" si="8"/>
        <v>1998.7447338092127</v>
      </c>
      <c r="AA31" s="50">
        <f t="shared" ca="1" si="9"/>
        <v>1954.0777979238558</v>
      </c>
      <c r="AB31" s="103">
        <f t="shared" ca="1" si="128"/>
        <v>83.812678632617107</v>
      </c>
      <c r="AC31" s="283">
        <v>13.3</v>
      </c>
      <c r="AD31" s="283">
        <f t="shared" ca="1" si="10"/>
        <v>13.415530413043861</v>
      </c>
      <c r="AE31" s="3">
        <f t="shared" ca="1" si="11"/>
        <v>125.22880557490043</v>
      </c>
      <c r="AF31" s="3">
        <f t="shared" ca="1" si="12"/>
        <v>214.97841332709427</v>
      </c>
      <c r="AG31" s="3">
        <f t="shared" ca="1" si="13"/>
        <v>582.51804744861579</v>
      </c>
      <c r="AH31" s="3">
        <f t="shared" ca="1" si="14"/>
        <v>280.55735751018676</v>
      </c>
      <c r="AI31" s="85">
        <f t="shared" si="189"/>
        <v>0.53167494420112815</v>
      </c>
      <c r="AJ31" s="85">
        <f t="shared" ca="1" si="15"/>
        <v>4.002161247457023</v>
      </c>
      <c r="AK31" s="85">
        <f t="shared" si="16"/>
        <v>0.31052444130264273</v>
      </c>
      <c r="AL31" s="86">
        <f t="shared" ca="1" si="130"/>
        <v>0.28312468853258227</v>
      </c>
      <c r="AM31" s="85">
        <f t="shared" si="17"/>
        <v>0.3576555837</v>
      </c>
      <c r="AN31" s="85">
        <f t="shared" ca="1" si="190"/>
        <v>0.35765558370000039</v>
      </c>
      <c r="AO31" s="123">
        <f t="shared" ca="1" si="191"/>
        <v>41.458001988950798</v>
      </c>
      <c r="AP31" s="123">
        <f t="shared" ca="1" si="192"/>
        <v>6.6594793481737602</v>
      </c>
      <c r="AQ31" s="123">
        <f t="shared" ca="1" si="193"/>
        <v>51.882518662875434</v>
      </c>
      <c r="AR31" s="2"/>
      <c r="AS31" s="53">
        <f t="shared" ca="1" si="132"/>
        <v>83.243515716793056</v>
      </c>
      <c r="AT31" s="53">
        <f t="shared" ca="1" si="194"/>
        <v>93.284086957279499</v>
      </c>
      <c r="AU31" s="63">
        <f t="shared" ca="1" si="22"/>
        <v>0.35765558370000039</v>
      </c>
      <c r="AV31" s="53">
        <f t="shared" si="195"/>
        <v>1.7090075691727042</v>
      </c>
      <c r="AW31" s="53">
        <f t="shared" ca="1" si="196"/>
        <v>1.7251296635229156</v>
      </c>
      <c r="AX31" s="54">
        <f t="shared" si="197"/>
        <v>1807.044436198476</v>
      </c>
      <c r="AY31" s="54">
        <f t="shared" si="198"/>
        <v>1727.0514604975137</v>
      </c>
      <c r="AZ31" s="54">
        <f t="shared" ca="1" si="26"/>
        <v>1727.1825620658444</v>
      </c>
      <c r="BA31" s="34"/>
      <c r="BB31" s="63">
        <f t="shared" ca="1" si="27"/>
        <v>0.48162861003020657</v>
      </c>
      <c r="BC31" s="63">
        <f t="shared" ca="1" si="28"/>
        <v>7.5895943382426487E-2</v>
      </c>
      <c r="BD31" s="53">
        <f t="shared" si="29"/>
        <v>0.37115000000000009</v>
      </c>
      <c r="BE31" s="53">
        <f t="shared" ca="1" si="30"/>
        <v>0.52502022006041327</v>
      </c>
      <c r="BF31" s="53">
        <f t="shared" ca="1" si="31"/>
        <v>0.32507667907858745</v>
      </c>
      <c r="BH31" s="53">
        <f t="shared" si="32"/>
        <v>0.39286499999999996</v>
      </c>
      <c r="BI31" s="53">
        <f t="shared" si="33"/>
        <v>0.43823699999999988</v>
      </c>
      <c r="BK31" s="53">
        <f t="shared" si="134"/>
        <v>0.69404497824562483</v>
      </c>
      <c r="BL31" s="53">
        <f t="shared" si="135"/>
        <v>0.51361292317380991</v>
      </c>
      <c r="BM31" s="53">
        <f t="shared" si="136"/>
        <v>0.65689873010533617</v>
      </c>
      <c r="BN31" s="53">
        <f t="shared" si="137"/>
        <v>1.1145448720861737</v>
      </c>
      <c r="BO31" s="53">
        <f t="shared" si="138"/>
        <v>0.6233209509657488</v>
      </c>
      <c r="BP31" s="53">
        <f t="shared" si="139"/>
        <v>0.53218874761134072</v>
      </c>
      <c r="BQ31" s="54">
        <f t="shared" si="140"/>
        <v>1559.0016000000001</v>
      </c>
      <c r="BR31" s="262">
        <f t="shared" si="141"/>
        <v>11.473396624728244</v>
      </c>
      <c r="BS31" s="54">
        <f t="shared" si="142"/>
        <v>1951.3609632897428</v>
      </c>
      <c r="BU31" s="2">
        <f t="shared" si="37"/>
        <v>0.77063914780292941</v>
      </c>
      <c r="BV31" s="2">
        <f t="shared" si="38"/>
        <v>5.5569461827284098E-3</v>
      </c>
      <c r="BW31" s="2">
        <f t="shared" si="39"/>
        <v>8.199293840721851E-2</v>
      </c>
      <c r="BX31" s="2">
        <f t="shared" si="40"/>
        <v>0.16910229645093947</v>
      </c>
      <c r="BY31" s="2">
        <f t="shared" si="41"/>
        <v>2.8192839018889204E-3</v>
      </c>
      <c r="BZ31" s="2">
        <f t="shared" si="42"/>
        <v>0.66501240694789088</v>
      </c>
      <c r="CA31" s="2">
        <f t="shared" si="43"/>
        <v>0.13338088445078461</v>
      </c>
      <c r="CB31" s="2">
        <f t="shared" si="44"/>
        <v>1.5811552113585026E-2</v>
      </c>
      <c r="CC31" s="2">
        <f t="shared" si="45"/>
        <v>4.2462845010615713E-4</v>
      </c>
      <c r="CD31" s="2">
        <f t="shared" si="46"/>
        <v>0</v>
      </c>
      <c r="CE31" s="2">
        <f t="shared" si="47"/>
        <v>0</v>
      </c>
      <c r="CF31" s="2">
        <f t="shared" si="199"/>
        <v>1.8447400847080717</v>
      </c>
      <c r="CG31" s="2">
        <f t="shared" si="200"/>
        <v>0.41774944567591066</v>
      </c>
      <c r="CH31" s="2">
        <f t="shared" si="201"/>
        <v>3.0123193119684344E-3</v>
      </c>
      <c r="CI31" s="2">
        <f t="shared" si="202"/>
        <v>4.4446878498980422E-2</v>
      </c>
      <c r="CJ31" s="2">
        <f t="shared" si="203"/>
        <v>9.1667274892928738E-2</v>
      </c>
      <c r="CK31" s="2">
        <f t="shared" si="204"/>
        <v>1.5282824530454485E-3</v>
      </c>
      <c r="CL31" s="2">
        <f t="shared" si="205"/>
        <v>0.36049111333379436</v>
      </c>
      <c r="CM31" s="2">
        <f t="shared" si="206"/>
        <v>7.2303348074041554E-2</v>
      </c>
      <c r="CN31" s="2">
        <f t="shared" si="207"/>
        <v>8.5711544106698307E-3</v>
      </c>
      <c r="CO31" s="2">
        <f t="shared" si="208"/>
        <v>2.3018334866039091E-4</v>
      </c>
      <c r="CP31" s="2">
        <f t="shared" si="209"/>
        <v>0</v>
      </c>
      <c r="CQ31" s="2">
        <f t="shared" si="210"/>
        <v>0</v>
      </c>
      <c r="CR31" s="2"/>
      <c r="CS31" s="2">
        <f t="shared" ca="1" si="52"/>
        <v>0.69004663763233687</v>
      </c>
      <c r="CT31" s="2">
        <f t="shared" ca="1" si="53"/>
        <v>9.2685864275208918E-2</v>
      </c>
      <c r="CU31" s="2">
        <f t="shared" ca="1" si="54"/>
        <v>1.2874074109894649</v>
      </c>
      <c r="CV31" s="2">
        <f t="shared" ca="1" si="211"/>
        <v>2.0701399128970106</v>
      </c>
      <c r="CW31" s="2">
        <f t="shared" ca="1" si="212"/>
        <v>0.33333333333333331</v>
      </c>
      <c r="CX31" s="2">
        <f t="shared" ca="1" si="213"/>
        <v>4.4772753618136749E-2</v>
      </c>
      <c r="CY31" s="2">
        <f t="shared" ca="1" si="214"/>
        <v>0.62189391304852992</v>
      </c>
      <c r="CZ31" s="2">
        <f t="shared" si="215"/>
        <v>0.52599001875381013</v>
      </c>
      <c r="DA31" s="2">
        <f t="shared" si="216"/>
        <v>0.41774944567591066</v>
      </c>
      <c r="DB31" s="2">
        <f t="shared" si="217"/>
        <v>-0.18024528305657614</v>
      </c>
      <c r="DC31" s="2"/>
      <c r="DD31" s="2">
        <f t="shared" si="218"/>
        <v>1807.044436198476</v>
      </c>
      <c r="DE31" s="2">
        <f t="shared" si="219"/>
        <v>15580.148778023671</v>
      </c>
      <c r="DF31" s="2">
        <f t="shared" si="64"/>
        <v>7.4897560088162516</v>
      </c>
      <c r="DG31" s="2">
        <f t="shared" si="220"/>
        <v>1816.2014604975136</v>
      </c>
      <c r="DH31" s="2">
        <f t="shared" si="221"/>
        <v>1543.0514604975137</v>
      </c>
      <c r="DI31" s="2">
        <f t="shared" si="143"/>
        <v>13602.905801982104</v>
      </c>
      <c r="DJ31" s="2">
        <f t="shared" si="67"/>
        <v>7.4897560088162516</v>
      </c>
      <c r="DK31" s="2">
        <f t="shared" si="222"/>
        <v>1816.2014604975136</v>
      </c>
      <c r="DL31" s="2">
        <f t="shared" si="69"/>
        <v>4</v>
      </c>
      <c r="DM31" s="2">
        <f t="shared" si="223"/>
        <v>-0.18024528305657614</v>
      </c>
      <c r="DN31" s="2">
        <f t="shared" si="224"/>
        <v>0.52599001875381013</v>
      </c>
      <c r="DO31" s="2">
        <f t="shared" si="225"/>
        <v>0.41774944567591066</v>
      </c>
      <c r="DP31" s="2">
        <f t="shared" si="226"/>
        <v>1.7090075691727042</v>
      </c>
      <c r="DQ31" s="2">
        <f t="shared" si="74"/>
        <v>15580.199999999995</v>
      </c>
      <c r="DR31" s="2">
        <f t="shared" si="227"/>
        <v>7.4895327816441162</v>
      </c>
      <c r="DS31" s="2">
        <f t="shared" si="228"/>
        <v>1807.1132759930051</v>
      </c>
      <c r="DT31" s="2">
        <f t="shared" si="229"/>
        <v>1543.1247699481769</v>
      </c>
      <c r="DU31" s="2">
        <f t="shared" si="230"/>
        <v>1727.1247699481769</v>
      </c>
      <c r="DV31" s="9">
        <f t="shared" ca="1" si="231"/>
        <v>1.7251296635229156</v>
      </c>
      <c r="DW31" s="2">
        <f t="shared" ca="1" si="80"/>
        <v>2.6772157149180673</v>
      </c>
      <c r="DX31" s="2">
        <f t="shared" si="232"/>
        <v>4650.3599999999997</v>
      </c>
      <c r="DY31" s="2">
        <f t="shared" ca="1" si="233"/>
        <v>1737.0135600531232</v>
      </c>
      <c r="DZ31" s="2">
        <f t="shared" ca="1" si="234"/>
        <v>2.6690935866916394</v>
      </c>
      <c r="EA31" s="2"/>
      <c r="EB31" s="2">
        <f t="shared" si="83"/>
        <v>0.77063914780292941</v>
      </c>
      <c r="EC31" s="2">
        <f t="shared" si="84"/>
        <v>5.5569461827284098E-3</v>
      </c>
      <c r="ED31" s="2">
        <f t="shared" si="85"/>
        <v>4.0996469203609255E-2</v>
      </c>
      <c r="EE31" s="2">
        <f t="shared" si="86"/>
        <v>0.16910229645093947</v>
      </c>
      <c r="EF31" s="2">
        <f t="shared" si="87"/>
        <v>2.8192839018889204E-3</v>
      </c>
      <c r="EG31" s="2">
        <f t="shared" si="88"/>
        <v>0.66501240694789088</v>
      </c>
      <c r="EH31" s="2">
        <f t="shared" si="89"/>
        <v>0.13338088445078461</v>
      </c>
      <c r="EI31" s="2">
        <f t="shared" si="90"/>
        <v>7.9057760567925132E-3</v>
      </c>
      <c r="EJ31" s="2">
        <f t="shared" si="91"/>
        <v>2.1231422505307856E-4</v>
      </c>
      <c r="EK31" s="2">
        <f t="shared" si="92"/>
        <v>0</v>
      </c>
      <c r="EL31" s="2">
        <f t="shared" si="93"/>
        <v>0</v>
      </c>
      <c r="EM31" s="2">
        <f t="shared" si="235"/>
        <v>1.7956255252226163</v>
      </c>
      <c r="EN31" s="2">
        <f t="shared" si="236"/>
        <v>0.42917587045739275</v>
      </c>
      <c r="EO31" s="2">
        <f t="shared" si="237"/>
        <v>3.0947132933184809E-3</v>
      </c>
      <c r="EP31" s="2">
        <f t="shared" si="238"/>
        <v>2.2831302310946284E-2</v>
      </c>
      <c r="EQ31" s="2">
        <f t="shared" si="239"/>
        <v>9.4174589342605086E-2</v>
      </c>
      <c r="ER31" s="2">
        <f t="shared" si="240"/>
        <v>1.5700845539825983E-3</v>
      </c>
      <c r="ES31" s="2">
        <f t="shared" si="241"/>
        <v>0.37035138875375734</v>
      </c>
      <c r="ET31" s="2">
        <f t="shared" si="242"/>
        <v>7.4281013817871874E-2</v>
      </c>
      <c r="EU31" s="2">
        <f t="shared" si="243"/>
        <v>4.4027977692132547E-3</v>
      </c>
      <c r="EV31" s="2">
        <f t="shared" si="244"/>
        <v>1.1823970091244747E-4</v>
      </c>
      <c r="EW31" s="2">
        <f t="shared" si="245"/>
        <v>0</v>
      </c>
      <c r="EX31" s="2">
        <f t="shared" si="246"/>
        <v>0</v>
      </c>
      <c r="EY31" s="2">
        <f t="shared" si="247"/>
        <v>1.0000000000000002</v>
      </c>
      <c r="EZ31" s="2">
        <f t="shared" si="97"/>
        <v>4.4446878498980422E-2</v>
      </c>
      <c r="FA31" s="2">
        <f t="shared" si="98"/>
        <v>0.46520864348685953</v>
      </c>
      <c r="FB31" s="2">
        <f t="shared" si="99"/>
        <v>1.438584535357704</v>
      </c>
      <c r="FC31" s="2">
        <f t="shared" si="248"/>
        <v>1.0163344967679699</v>
      </c>
      <c r="FD31" s="2">
        <f t="shared" si="249"/>
        <v>2.1846853255998839</v>
      </c>
      <c r="FE31" s="2">
        <f t="shared" ca="1" si="102"/>
        <v>0.13162203471853184</v>
      </c>
      <c r="FF31" s="2">
        <f t="shared" ca="1" si="103"/>
        <v>0.13162203471853184</v>
      </c>
      <c r="FG31" s="2">
        <f t="shared" ca="1" si="104"/>
        <v>0.23307668776997426</v>
      </c>
      <c r="FH31" s="2">
        <f t="shared" ca="1" si="105"/>
        <v>-1.4262417194171495</v>
      </c>
      <c r="FI31" s="2">
        <f t="shared" ca="1" si="106"/>
        <v>9.8123960111521445E-3</v>
      </c>
      <c r="FJ31" s="2">
        <f t="shared" ca="1" si="107"/>
        <v>7.4549797320300801E-2</v>
      </c>
      <c r="FK31" s="2">
        <f t="shared" ca="1" si="108"/>
        <v>0.20129476919517686</v>
      </c>
      <c r="FL31" s="2">
        <f t="shared" ca="1" si="109"/>
        <v>7.1994198172257842E-2</v>
      </c>
      <c r="FM31" s="2">
        <f t="shared" ca="1" si="250"/>
        <v>0.35765558370000039</v>
      </c>
      <c r="FN31" s="2">
        <f t="shared" ca="1" si="251"/>
        <v>7.1994198172257828E-2</v>
      </c>
      <c r="FO31" s="2">
        <f t="shared" ca="1" si="110"/>
        <v>7.1994198172257759E-2</v>
      </c>
      <c r="FP31" s="2">
        <f t="shared" ca="1" si="252"/>
        <v>1.8656817391455898</v>
      </c>
      <c r="FQ31" s="2">
        <f t="shared" ca="1" si="253"/>
        <v>0.13431826085441023</v>
      </c>
      <c r="FR31" s="2">
        <f t="shared" si="148"/>
        <v>0.33333333333333331</v>
      </c>
      <c r="FS31" s="2">
        <f t="shared" ca="1" si="254"/>
        <v>4.4772753618136742E-2</v>
      </c>
      <c r="FT31" s="2">
        <f t="shared" ca="1" si="255"/>
        <v>0.62189391304852992</v>
      </c>
      <c r="FU31" s="2">
        <f t="shared" si="256"/>
        <v>20.026666666666664</v>
      </c>
      <c r="FV31" s="2">
        <f t="shared" ca="1" si="257"/>
        <v>3.2169223474631248</v>
      </c>
      <c r="FW31" s="2">
        <f t="shared" ca="1" si="258"/>
        <v>25.062324695855754</v>
      </c>
      <c r="FX31" s="2">
        <f t="shared" ca="1" si="259"/>
        <v>48.305913709985546</v>
      </c>
      <c r="FY31" s="2">
        <f t="shared" ca="1" si="260"/>
        <v>41.458001988950798</v>
      </c>
      <c r="FZ31" s="2">
        <f t="shared" ca="1" si="261"/>
        <v>6.6594793481737602</v>
      </c>
      <c r="GA31" s="2">
        <f t="shared" ca="1" si="262"/>
        <v>51.882518662875434</v>
      </c>
      <c r="GB31" s="2">
        <f t="shared" ca="1" si="263"/>
        <v>93.284086957279499</v>
      </c>
      <c r="GC31" s="2">
        <f t="shared" si="120"/>
        <v>4000000000</v>
      </c>
      <c r="GD31" s="2">
        <f t="shared" si="149"/>
        <v>38</v>
      </c>
      <c r="GE31">
        <f t="shared" si="150"/>
        <v>1570.0092115999998</v>
      </c>
      <c r="GF31">
        <f t="shared" si="151"/>
        <v>1569.9359999999999</v>
      </c>
      <c r="GG31">
        <f t="shared" si="152"/>
        <v>1874.2760000000003</v>
      </c>
      <c r="GH31" s="2">
        <f t="shared" si="153"/>
        <v>0.51624978805780908</v>
      </c>
      <c r="GI31" s="2">
        <f t="shared" si="154"/>
        <v>0.98699999999999988</v>
      </c>
      <c r="GJ31" s="2">
        <f t="shared" si="155"/>
        <v>-1.1860000000000004</v>
      </c>
      <c r="GK31" s="2">
        <f t="shared" si="156"/>
        <v>1.2039999999999997</v>
      </c>
      <c r="GL31" s="2">
        <f t="shared" si="157"/>
        <v>-0.51624978805780908</v>
      </c>
      <c r="GM31">
        <f t="shared" si="158"/>
        <v>0.32834994462901457</v>
      </c>
      <c r="GN31">
        <f t="shared" si="159"/>
        <v>3.5400617873621851E-2</v>
      </c>
      <c r="GO31">
        <f t="shared" si="160"/>
        <v>-0.13458529707177633</v>
      </c>
      <c r="GP31">
        <f t="shared" si="161"/>
        <v>-0.21438944686786096</v>
      </c>
      <c r="GQ31">
        <f t="shared" si="162"/>
        <v>0.27325581395348841</v>
      </c>
      <c r="GR31">
        <f t="shared" si="163"/>
        <v>0.10781368613787694</v>
      </c>
      <c r="GS31">
        <f t="shared" si="164"/>
        <v>0.11520476766970648</v>
      </c>
      <c r="GT31">
        <f t="shared" si="165"/>
        <v>4.5283326368835289E-3</v>
      </c>
      <c r="GU31">
        <f t="shared" si="166"/>
        <v>0.62880193400649242</v>
      </c>
      <c r="GV31">
        <f t="shared" si="167"/>
        <v>-0.2631069003898821</v>
      </c>
      <c r="GW31">
        <f t="shared" si="168"/>
        <v>0.69404497824562483</v>
      </c>
      <c r="GX31" s="2"/>
      <c r="GY31" s="15">
        <f t="shared" si="169"/>
        <v>0.21011856572981816</v>
      </c>
      <c r="GZ31" s="2">
        <f t="shared" si="170"/>
        <v>2.5926015604264763E-2</v>
      </c>
      <c r="HA31" s="2">
        <f t="shared" si="171"/>
        <v>6.0082273942299536E-2</v>
      </c>
      <c r="HB31" s="2">
        <f t="shared" si="172"/>
        <v>0.29612685527638249</v>
      </c>
      <c r="HC31" s="2">
        <f t="shared" si="173"/>
        <v>0.70955592843381032</v>
      </c>
      <c r="HD31" s="2">
        <f t="shared" si="174"/>
        <v>8.7550369520074001E-2</v>
      </c>
      <c r="HE31" s="2">
        <f t="shared" si="175"/>
        <v>0.20289370204611556</v>
      </c>
      <c r="HF31" s="2">
        <f t="shared" si="176"/>
        <v>-1.3354129127966763</v>
      </c>
      <c r="HG31" s="2">
        <f t="shared" si="177"/>
        <v>-1.3310412680407491</v>
      </c>
      <c r="HH31" s="2">
        <f t="shared" si="178"/>
        <v>-1.3332270904187127</v>
      </c>
      <c r="HI31" s="2">
        <f t="shared" si="179"/>
        <v>2.3857262270400135</v>
      </c>
      <c r="HJ31" s="2">
        <f t="shared" si="180"/>
        <v>0.18713959563352228</v>
      </c>
      <c r="HK31" s="2">
        <f t="shared" si="181"/>
        <v>0.35328376587213184</v>
      </c>
      <c r="HL31" s="2">
        <f t="shared" si="182"/>
        <v>0.66008230452674888</v>
      </c>
    </row>
    <row r="32" spans="1:220" ht="20.25">
      <c r="A32" s="88" t="s">
        <v>150</v>
      </c>
      <c r="B32" s="77">
        <v>3500</v>
      </c>
      <c r="C32" s="94">
        <f t="shared" si="126"/>
        <v>-2.5664512561075634</v>
      </c>
      <c r="D32" s="59">
        <f t="shared" si="183"/>
        <v>-2.1692194694287679</v>
      </c>
      <c r="E32" s="60">
        <f t="shared" si="184"/>
        <v>-2.5664512561075634</v>
      </c>
      <c r="F32" s="84">
        <v>46.4</v>
      </c>
      <c r="G32" s="84">
        <v>0.496</v>
      </c>
      <c r="H32" s="84">
        <v>4.05</v>
      </c>
      <c r="I32" s="84">
        <v>12.15</v>
      </c>
      <c r="J32" s="84">
        <v>0.2</v>
      </c>
      <c r="K32" s="84">
        <v>26.1</v>
      </c>
      <c r="L32" s="84">
        <v>8.24</v>
      </c>
      <c r="M32" s="84">
        <v>0.48</v>
      </c>
      <c r="N32" s="84">
        <v>0.01</v>
      </c>
      <c r="O32" s="84"/>
      <c r="P32" s="84"/>
      <c r="Q32" s="84"/>
      <c r="R32" s="3">
        <f t="shared" si="185"/>
        <v>98.126000000000005</v>
      </c>
      <c r="S32" s="135">
        <v>4</v>
      </c>
      <c r="T32" s="288">
        <f t="shared" si="186"/>
        <v>0.35791284369999998</v>
      </c>
      <c r="U32" s="54">
        <f t="shared" si="187"/>
        <v>1715.4003611303528</v>
      </c>
      <c r="V32" s="54">
        <f t="shared" ca="1" si="188"/>
        <v>1717.0984558876512</v>
      </c>
      <c r="W32" s="54">
        <f t="shared" si="5"/>
        <v>1715.4003611303528</v>
      </c>
      <c r="X32" s="101">
        <f t="shared" ca="1" si="6"/>
        <v>2000.475145213469</v>
      </c>
      <c r="Y32" s="101">
        <f t="shared" ca="1" si="7"/>
        <v>1869.0294833321893</v>
      </c>
      <c r="Z32" s="50">
        <f t="shared" ca="1" si="8"/>
        <v>1971.4789744505601</v>
      </c>
      <c r="AA32" s="50">
        <f t="shared" ca="1" si="9"/>
        <v>1928.6217305422622</v>
      </c>
      <c r="AB32" s="103">
        <f t="shared" ca="1" si="128"/>
        <v>81.276378599222241</v>
      </c>
      <c r="AC32" s="283">
        <v>13.3</v>
      </c>
      <c r="AD32" s="283">
        <f t="shared" ca="1" si="10"/>
        <v>13.341346885267615</v>
      </c>
      <c r="AE32" s="3">
        <f t="shared" ca="1" si="11"/>
        <v>124.80089013293004</v>
      </c>
      <c r="AF32" s="3">
        <f t="shared" ca="1" si="12"/>
        <v>214.91165969212307</v>
      </c>
      <c r="AG32" s="3">
        <f t="shared" ca="1" si="13"/>
        <v>580.70786067036386</v>
      </c>
      <c r="AH32" s="3">
        <f t="shared" ca="1" si="14"/>
        <v>264.88866219568143</v>
      </c>
      <c r="AI32" s="85">
        <f t="shared" si="189"/>
        <v>0.52787949559529246</v>
      </c>
      <c r="AJ32" s="85">
        <f t="shared" ca="1" si="15"/>
        <v>3.8580873864754421</v>
      </c>
      <c r="AK32" s="85">
        <f t="shared" si="16"/>
        <v>0.31179966415936522</v>
      </c>
      <c r="AL32" s="86">
        <f t="shared" ca="1" si="130"/>
        <v>0.28126470324254177</v>
      </c>
      <c r="AM32" s="85">
        <f t="shared" si="17"/>
        <v>0.35791284369999998</v>
      </c>
      <c r="AN32" s="85">
        <f t="shared" ca="1" si="190"/>
        <v>0.35791284370000026</v>
      </c>
      <c r="AO32" s="123">
        <f t="shared" ca="1" si="191"/>
        <v>41.435342749005549</v>
      </c>
      <c r="AP32" s="123">
        <f t="shared" ca="1" si="192"/>
        <v>6.7803094615115826</v>
      </c>
      <c r="AQ32" s="123">
        <f t="shared" ca="1" si="193"/>
        <v>51.784347789482879</v>
      </c>
      <c r="AR32" s="2"/>
      <c r="AS32" s="53">
        <f t="shared" ca="1" si="132"/>
        <v>82.974605240045591</v>
      </c>
      <c r="AT32" s="53">
        <f t="shared" ca="1" si="194"/>
        <v>93.158493620382629</v>
      </c>
      <c r="AU32" s="63">
        <f t="shared" ca="1" si="22"/>
        <v>0.35791284370000026</v>
      </c>
      <c r="AV32" s="53">
        <f t="shared" si="195"/>
        <v>1.7471081025869011</v>
      </c>
      <c r="AW32" s="53">
        <f t="shared" ca="1" si="196"/>
        <v>1.7646134815486429</v>
      </c>
      <c r="AX32" s="54">
        <f t="shared" si="197"/>
        <v>1793.6997976182802</v>
      </c>
      <c r="AY32" s="54">
        <f t="shared" si="198"/>
        <v>1715.4003611303528</v>
      </c>
      <c r="AZ32" s="54">
        <f t="shared" ca="1" si="26"/>
        <v>1717.0984558876512</v>
      </c>
      <c r="BA32" s="34"/>
      <c r="BB32" s="63">
        <f t="shared" ca="1" si="27"/>
        <v>0.4561478845660818</v>
      </c>
      <c r="BC32" s="63">
        <f t="shared" ca="1" si="28"/>
        <v>7.2948811707436653E-2</v>
      </c>
      <c r="BD32" s="53">
        <f t="shared" si="29"/>
        <v>0.36010999999999993</v>
      </c>
      <c r="BE32" s="53">
        <f t="shared" ca="1" si="30"/>
        <v>0.49914976913216358</v>
      </c>
      <c r="BF32" s="53">
        <f t="shared" ca="1" si="31"/>
        <v>0.30421329889446563</v>
      </c>
      <c r="BH32" s="53">
        <f t="shared" si="32"/>
        <v>0.36558499999999988</v>
      </c>
      <c r="BI32" s="53">
        <f t="shared" si="33"/>
        <v>0.41314600000000001</v>
      </c>
      <c r="BK32" s="53">
        <f t="shared" si="134"/>
        <v>0.65699685010949049</v>
      </c>
      <c r="BL32" s="53">
        <f t="shared" si="135"/>
        <v>0.47197722764848543</v>
      </c>
      <c r="BM32" s="53">
        <f t="shared" si="136"/>
        <v>0.62843533431811049</v>
      </c>
      <c r="BN32" s="53">
        <f t="shared" si="137"/>
        <v>1.0454414334761424</v>
      </c>
      <c r="BO32" s="53">
        <f t="shared" si="138"/>
        <v>0.59712707827669043</v>
      </c>
      <c r="BP32" s="53">
        <f t="shared" si="139"/>
        <v>0.50936435037461281</v>
      </c>
      <c r="BQ32" s="54">
        <f t="shared" si="140"/>
        <v>1547.8464000000001</v>
      </c>
      <c r="BR32" s="262">
        <f t="shared" si="141"/>
        <v>10.472927943474406</v>
      </c>
      <c r="BS32" s="54">
        <f t="shared" si="142"/>
        <v>1918.3475100496153</v>
      </c>
      <c r="BU32" s="2">
        <f t="shared" si="37"/>
        <v>0.77230359520639147</v>
      </c>
      <c r="BV32" s="2">
        <f t="shared" si="38"/>
        <v>6.2077596996245304E-3</v>
      </c>
      <c r="BW32" s="2">
        <f t="shared" si="39"/>
        <v>7.9442918791683012E-2</v>
      </c>
      <c r="BX32" s="2">
        <f t="shared" si="40"/>
        <v>0.16910229645093947</v>
      </c>
      <c r="BY32" s="2">
        <f t="shared" si="41"/>
        <v>2.8192839018889204E-3</v>
      </c>
      <c r="BZ32" s="2">
        <f t="shared" si="42"/>
        <v>0.64764267990074453</v>
      </c>
      <c r="CA32" s="2">
        <f t="shared" si="43"/>
        <v>0.14693295292439373</v>
      </c>
      <c r="CB32" s="2">
        <f t="shared" si="44"/>
        <v>1.5488867376573089E-2</v>
      </c>
      <c r="CC32" s="2">
        <f t="shared" si="45"/>
        <v>2.1231422505307856E-4</v>
      </c>
      <c r="CD32" s="2">
        <f t="shared" si="46"/>
        <v>0</v>
      </c>
      <c r="CE32" s="2">
        <f t="shared" si="47"/>
        <v>0</v>
      </c>
      <c r="CF32" s="2">
        <f t="shared" si="199"/>
        <v>1.840152668477292</v>
      </c>
      <c r="CG32" s="2">
        <f t="shared" si="200"/>
        <v>0.41969539182064985</v>
      </c>
      <c r="CH32" s="2">
        <f t="shared" si="201"/>
        <v>3.3735025392003966E-3</v>
      </c>
      <c r="CI32" s="2">
        <f t="shared" si="202"/>
        <v>4.3171917283048714E-2</v>
      </c>
      <c r="CJ32" s="2">
        <f t="shared" si="203"/>
        <v>9.189579720625568E-2</v>
      </c>
      <c r="CK32" s="2">
        <f t="shared" si="204"/>
        <v>1.5320923911285305E-3</v>
      </c>
      <c r="CL32" s="2">
        <f t="shared" si="205"/>
        <v>0.35195051529972371</v>
      </c>
      <c r="CM32" s="2">
        <f t="shared" si="206"/>
        <v>7.984824055168166E-2</v>
      </c>
      <c r="CN32" s="2">
        <f t="shared" si="207"/>
        <v>8.4171643157140725E-3</v>
      </c>
      <c r="CO32" s="2">
        <f t="shared" si="208"/>
        <v>1.1537859259730144E-4</v>
      </c>
      <c r="CP32" s="2">
        <f t="shared" si="209"/>
        <v>0</v>
      </c>
      <c r="CQ32" s="2">
        <f t="shared" si="210"/>
        <v>0</v>
      </c>
      <c r="CR32" s="2"/>
      <c r="CS32" s="2">
        <f t="shared" ca="1" si="52"/>
        <v>0.6896694865014239</v>
      </c>
      <c r="CT32" s="2">
        <f t="shared" ca="1" si="53"/>
        <v>9.4367563834538384E-2</v>
      </c>
      <c r="CU32" s="2">
        <f t="shared" ca="1" si="54"/>
        <v>1.2849714091683098</v>
      </c>
      <c r="CV32" s="2">
        <f t="shared" ca="1" si="211"/>
        <v>2.0690084595042721</v>
      </c>
      <c r="CW32" s="2">
        <f t="shared" ca="1" si="212"/>
        <v>0.33333333333333326</v>
      </c>
      <c r="CX32" s="2">
        <f t="shared" ca="1" si="213"/>
        <v>4.561004253078238E-2</v>
      </c>
      <c r="CY32" s="2">
        <f t="shared" ca="1" si="214"/>
        <v>0.62105662413588436</v>
      </c>
      <c r="CZ32" s="2">
        <f t="shared" si="215"/>
        <v>0.52522664544878961</v>
      </c>
      <c r="DA32" s="2">
        <f t="shared" si="216"/>
        <v>0.41969539182064985</v>
      </c>
      <c r="DB32" s="2">
        <f t="shared" si="217"/>
        <v>-0.17811484882907008</v>
      </c>
      <c r="DC32" s="2"/>
      <c r="DD32" s="2">
        <f t="shared" si="218"/>
        <v>1793.6997976182802</v>
      </c>
      <c r="DE32" s="2">
        <f t="shared" si="219"/>
        <v>15580.148778023671</v>
      </c>
      <c r="DF32" s="2">
        <f t="shared" si="64"/>
        <v>7.5381137013329882</v>
      </c>
      <c r="DG32" s="2">
        <f t="shared" si="220"/>
        <v>1804.5503611303527</v>
      </c>
      <c r="DH32" s="2">
        <f t="shared" si="221"/>
        <v>1531.4003611303528</v>
      </c>
      <c r="DI32" s="2">
        <f t="shared" si="143"/>
        <v>13602.905801982104</v>
      </c>
      <c r="DJ32" s="2">
        <f t="shared" si="67"/>
        <v>7.5381137013329882</v>
      </c>
      <c r="DK32" s="2">
        <f t="shared" si="222"/>
        <v>1804.5503611303527</v>
      </c>
      <c r="DL32" s="2">
        <f t="shared" si="69"/>
        <v>4</v>
      </c>
      <c r="DM32" s="2">
        <f t="shared" si="223"/>
        <v>-0.17811484882907008</v>
      </c>
      <c r="DN32" s="2">
        <f t="shared" si="224"/>
        <v>0.5252266454487895</v>
      </c>
      <c r="DO32" s="2">
        <f t="shared" si="225"/>
        <v>0.41969539182064985</v>
      </c>
      <c r="DP32" s="2">
        <f t="shared" si="226"/>
        <v>1.7471081025869011</v>
      </c>
      <c r="DQ32" s="2">
        <f t="shared" si="74"/>
        <v>15580.199999999995</v>
      </c>
      <c r="DR32" s="2">
        <f t="shared" si="227"/>
        <v>7.5378904741608528</v>
      </c>
      <c r="DS32" s="2">
        <f t="shared" si="228"/>
        <v>1793.7678005978446</v>
      </c>
      <c r="DT32" s="2">
        <f t="shared" si="229"/>
        <v>1531.4728552444362</v>
      </c>
      <c r="DU32" s="2">
        <f t="shared" si="230"/>
        <v>1715.4728552444362</v>
      </c>
      <c r="DV32" s="9">
        <f t="shared" ca="1" si="231"/>
        <v>1.7646134815486429</v>
      </c>
      <c r="DW32" s="2">
        <f t="shared" ca="1" si="80"/>
        <v>2.7008681757793136</v>
      </c>
      <c r="DX32" s="2">
        <f t="shared" si="232"/>
        <v>4650.3599999999997</v>
      </c>
      <c r="DY32" s="2">
        <f t="shared" ca="1" si="233"/>
        <v>1721.8019160295285</v>
      </c>
      <c r="DZ32" s="2">
        <f t="shared" ca="1" si="234"/>
        <v>2.7238456399043489</v>
      </c>
      <c r="EA32" s="2"/>
      <c r="EB32" s="2">
        <f t="shared" si="83"/>
        <v>0.77230359520639147</v>
      </c>
      <c r="EC32" s="2">
        <f t="shared" si="84"/>
        <v>6.2077596996245304E-3</v>
      </c>
      <c r="ED32" s="2">
        <f t="shared" si="85"/>
        <v>3.9721459395841506E-2</v>
      </c>
      <c r="EE32" s="2">
        <f t="shared" si="86"/>
        <v>0.16910229645093947</v>
      </c>
      <c r="EF32" s="2">
        <f t="shared" si="87"/>
        <v>2.8192839018889204E-3</v>
      </c>
      <c r="EG32" s="2">
        <f t="shared" si="88"/>
        <v>0.64764267990074453</v>
      </c>
      <c r="EH32" s="2">
        <f t="shared" si="89"/>
        <v>0.14693295292439373</v>
      </c>
      <c r="EI32" s="2">
        <f t="shared" si="90"/>
        <v>7.7444336882865443E-3</v>
      </c>
      <c r="EJ32" s="2">
        <f t="shared" si="91"/>
        <v>1.0615711252653928E-4</v>
      </c>
      <c r="EK32" s="2">
        <f t="shared" si="92"/>
        <v>0</v>
      </c>
      <c r="EL32" s="2">
        <f t="shared" si="93"/>
        <v>0</v>
      </c>
      <c r="EM32" s="2">
        <f t="shared" si="235"/>
        <v>1.792580618280637</v>
      </c>
      <c r="EN32" s="2">
        <f t="shared" si="236"/>
        <v>0.43083339590447567</v>
      </c>
      <c r="EO32" s="2">
        <f t="shared" si="237"/>
        <v>3.4630295766439421E-3</v>
      </c>
      <c r="EP32" s="2">
        <f t="shared" si="238"/>
        <v>2.2158813383768787E-2</v>
      </c>
      <c r="EQ32" s="2">
        <f t="shared" si="239"/>
        <v>9.433455585006538E-2</v>
      </c>
      <c r="ER32" s="2">
        <f t="shared" si="240"/>
        <v>1.5727515254477377E-3</v>
      </c>
      <c r="ES32" s="2">
        <f t="shared" si="241"/>
        <v>0.36129068522560193</v>
      </c>
      <c r="ET32" s="2">
        <f t="shared" si="242"/>
        <v>8.1967277469130087E-2</v>
      </c>
      <c r="EU32" s="2">
        <f t="shared" si="243"/>
        <v>4.3202707924593414E-3</v>
      </c>
      <c r="EV32" s="2">
        <f t="shared" si="244"/>
        <v>5.9220272407251858E-5</v>
      </c>
      <c r="EW32" s="2">
        <f t="shared" si="245"/>
        <v>0</v>
      </c>
      <c r="EX32" s="2">
        <f t="shared" si="246"/>
        <v>0</v>
      </c>
      <c r="EY32" s="2">
        <f t="shared" si="247"/>
        <v>1.0000000000000002</v>
      </c>
      <c r="EZ32" s="2">
        <f t="shared" si="97"/>
        <v>4.3171917283048714E-2</v>
      </c>
      <c r="FA32" s="2">
        <f t="shared" si="98"/>
        <v>0.46624081164289893</v>
      </c>
      <c r="FB32" s="2">
        <f t="shared" si="99"/>
        <v>1.4403885815472188</v>
      </c>
      <c r="FC32" s="2">
        <f t="shared" si="248"/>
        <v>1.0158139165228419</v>
      </c>
      <c r="FD32" s="2">
        <f t="shared" si="249"/>
        <v>2.178732301326014</v>
      </c>
      <c r="FE32" s="2">
        <f t="shared" ca="1" si="102"/>
        <v>0.1362562375830054</v>
      </c>
      <c r="FF32" s="2">
        <f t="shared" ca="1" si="103"/>
        <v>0.1362562375830054</v>
      </c>
      <c r="FG32" s="2">
        <f t="shared" ca="1" si="104"/>
        <v>0.24008785930504681</v>
      </c>
      <c r="FH32" s="2">
        <f t="shared" ca="1" si="105"/>
        <v>-1.5072947323833519</v>
      </c>
      <c r="FI32" s="2">
        <f t="shared" ca="1" si="106"/>
        <v>1.0101018186495125E-2</v>
      </c>
      <c r="FJ32" s="2">
        <f t="shared" ca="1" si="107"/>
        <v>7.4132519477075137E-2</v>
      </c>
      <c r="FK32" s="2">
        <f t="shared" ca="1" si="108"/>
        <v>0.20518801759526217</v>
      </c>
      <c r="FL32" s="2">
        <f t="shared" ca="1" si="109"/>
        <v>7.343942687068597E-2</v>
      </c>
      <c r="FM32" s="2">
        <f t="shared" ca="1" si="250"/>
        <v>0.35791284370000026</v>
      </c>
      <c r="FN32" s="2">
        <f t="shared" ca="1" si="251"/>
        <v>7.343942687068597E-2</v>
      </c>
      <c r="FO32" s="2">
        <f t="shared" ca="1" si="110"/>
        <v>7.3439426870685914E-2</v>
      </c>
      <c r="FP32" s="2">
        <f t="shared" ca="1" si="252"/>
        <v>1.8631698724076529</v>
      </c>
      <c r="FQ32" s="2">
        <f t="shared" ca="1" si="253"/>
        <v>0.13683012759234714</v>
      </c>
      <c r="FR32" s="2">
        <f t="shared" si="148"/>
        <v>0.33333333333333331</v>
      </c>
      <c r="FS32" s="2">
        <f t="shared" ca="1" si="254"/>
        <v>4.561004253078238E-2</v>
      </c>
      <c r="FT32" s="2">
        <f t="shared" ca="1" si="255"/>
        <v>0.62105662413588425</v>
      </c>
      <c r="FU32" s="2">
        <f t="shared" si="256"/>
        <v>20.026666666666664</v>
      </c>
      <c r="FV32" s="2">
        <f t="shared" ca="1" si="257"/>
        <v>3.2770815558367139</v>
      </c>
      <c r="FW32" s="2">
        <f t="shared" ca="1" si="258"/>
        <v>25.028581952676134</v>
      </c>
      <c r="FX32" s="2">
        <f t="shared" ca="1" si="259"/>
        <v>48.332330175179507</v>
      </c>
      <c r="FY32" s="2">
        <f t="shared" ca="1" si="260"/>
        <v>41.435342749005549</v>
      </c>
      <c r="FZ32" s="2">
        <f t="shared" ca="1" si="261"/>
        <v>6.7803094615115826</v>
      </c>
      <c r="GA32" s="2">
        <f t="shared" ca="1" si="262"/>
        <v>51.784347789482879</v>
      </c>
      <c r="GB32" s="2">
        <f t="shared" ca="1" si="263"/>
        <v>93.158493620382629</v>
      </c>
      <c r="GC32" s="2">
        <f t="shared" si="120"/>
        <v>4000000000</v>
      </c>
      <c r="GD32" s="2">
        <f t="shared" si="149"/>
        <v>38</v>
      </c>
      <c r="GE32">
        <f t="shared" si="150"/>
        <v>1570.0092115999998</v>
      </c>
      <c r="GF32">
        <f t="shared" si="151"/>
        <v>1569.9359999999999</v>
      </c>
      <c r="GG32">
        <f t="shared" si="152"/>
        <v>1874.2760000000003</v>
      </c>
      <c r="GH32" s="2">
        <f t="shared" si="153"/>
        <v>0.47796661999853041</v>
      </c>
      <c r="GI32" s="2">
        <f t="shared" si="154"/>
        <v>0.98699999999999988</v>
      </c>
      <c r="GJ32" s="2">
        <f t="shared" si="155"/>
        <v>-1.1860000000000004</v>
      </c>
      <c r="GK32" s="2">
        <f t="shared" si="156"/>
        <v>1.2039999999999997</v>
      </c>
      <c r="GL32" s="2">
        <f t="shared" si="157"/>
        <v>-0.47796661999853041</v>
      </c>
      <c r="GM32">
        <f t="shared" si="158"/>
        <v>0.32834994462901457</v>
      </c>
      <c r="GN32">
        <f t="shared" si="159"/>
        <v>3.5400617873621851E-2</v>
      </c>
      <c r="GO32">
        <f t="shared" si="160"/>
        <v>-0.13458529707177633</v>
      </c>
      <c r="GP32">
        <f t="shared" si="161"/>
        <v>-0.19849112126184823</v>
      </c>
      <c r="GQ32">
        <f t="shared" si="162"/>
        <v>0.27325581395348841</v>
      </c>
      <c r="GR32">
        <f t="shared" si="163"/>
        <v>0.10781368613787694</v>
      </c>
      <c r="GS32">
        <f t="shared" si="164"/>
        <v>9.9306442063693753E-2</v>
      </c>
      <c r="GT32">
        <f t="shared" si="165"/>
        <v>4.5283326368835289E-3</v>
      </c>
      <c r="GU32">
        <f t="shared" si="166"/>
        <v>0.60300821989780029</v>
      </c>
      <c r="GV32">
        <f t="shared" si="167"/>
        <v>-0.27436131441732442</v>
      </c>
      <c r="GW32">
        <f t="shared" si="168"/>
        <v>0.65699685010949049</v>
      </c>
      <c r="GX32" s="2"/>
      <c r="GY32" s="15">
        <f t="shared" si="169"/>
        <v>0.20190683404383489</v>
      </c>
      <c r="GZ32" s="2">
        <f t="shared" si="170"/>
        <v>2.5621842960412727E-2</v>
      </c>
      <c r="HA32" s="2">
        <f t="shared" si="171"/>
        <v>5.5243264330960593E-2</v>
      </c>
      <c r="HB32" s="2">
        <f t="shared" si="172"/>
        <v>0.28277194133520822</v>
      </c>
      <c r="HC32" s="2">
        <f t="shared" si="173"/>
        <v>0.71402711701330768</v>
      </c>
      <c r="HD32" s="2">
        <f t="shared" si="174"/>
        <v>9.0609566279561155E-2</v>
      </c>
      <c r="HE32" s="2">
        <f t="shared" si="175"/>
        <v>0.19536331670713114</v>
      </c>
      <c r="HF32" s="2">
        <f t="shared" si="176"/>
        <v>-1.3445671405112198</v>
      </c>
      <c r="HG32" s="2">
        <f t="shared" si="177"/>
        <v>-1.3384193680497596</v>
      </c>
      <c r="HH32" s="2">
        <f t="shared" si="178"/>
        <v>-1.3414932542804898</v>
      </c>
      <c r="HI32" s="2">
        <f t="shared" si="179"/>
        <v>2.3350085706647787</v>
      </c>
      <c r="HJ32" s="2">
        <f t="shared" si="180"/>
        <v>0.19375903727283866</v>
      </c>
      <c r="HK32" s="2">
        <f t="shared" si="181"/>
        <v>0.35257220680847312</v>
      </c>
      <c r="HL32" s="2">
        <f t="shared" si="182"/>
        <v>0.66008230452674888</v>
      </c>
    </row>
    <row r="33" spans="1:220" ht="20.25">
      <c r="A33" s="88" t="s">
        <v>151</v>
      </c>
      <c r="B33" s="77">
        <v>3710</v>
      </c>
      <c r="C33" s="94">
        <f t="shared" si="126"/>
        <v>-2.8259286539248842</v>
      </c>
      <c r="D33" s="59">
        <f t="shared" si="183"/>
        <v>-2.420050896210693</v>
      </c>
      <c r="E33" s="60">
        <f t="shared" si="184"/>
        <v>-2.8259286539248842</v>
      </c>
      <c r="F33" s="84">
        <v>44.95</v>
      </c>
      <c r="G33" s="84">
        <v>0.75</v>
      </c>
      <c r="H33" s="84">
        <v>5.27</v>
      </c>
      <c r="I33" s="84">
        <v>12.825000000000001</v>
      </c>
      <c r="J33" s="84">
        <v>0.24</v>
      </c>
      <c r="K33" s="84">
        <v>22.61</v>
      </c>
      <c r="L33" s="84">
        <v>8.19</v>
      </c>
      <c r="M33" s="84">
        <v>0.06</v>
      </c>
      <c r="N33" s="84">
        <v>0.02</v>
      </c>
      <c r="O33" s="84"/>
      <c r="P33" s="84"/>
      <c r="Q33" s="84"/>
      <c r="R33" s="3">
        <f t="shared" si="185"/>
        <v>94.914999999999992</v>
      </c>
      <c r="S33" s="135">
        <v>4</v>
      </c>
      <c r="T33" s="288">
        <f t="shared" si="186"/>
        <v>0.35437267680000001</v>
      </c>
      <c r="U33" s="54">
        <f t="shared" si="187"/>
        <v>1670.2071013835107</v>
      </c>
      <c r="V33" s="54">
        <f t="shared" ca="1" si="188"/>
        <v>1675.4902462461087</v>
      </c>
      <c r="W33" s="54">
        <f t="shared" si="5"/>
        <v>1670.2071013835107</v>
      </c>
      <c r="X33" s="101">
        <f t="shared" ca="1" si="6"/>
        <v>1855.499109385986</v>
      </c>
      <c r="Y33" s="101">
        <f t="shared" ca="1" si="7"/>
        <v>1706.9809776461086</v>
      </c>
      <c r="Z33" s="50">
        <f t="shared" ca="1" si="8"/>
        <v>1819.1142944910473</v>
      </c>
      <c r="AA33" s="50">
        <f t="shared" ca="1" si="9"/>
        <v>1790.4525557527197</v>
      </c>
      <c r="AB33" s="103">
        <f t="shared" ca="1" si="128"/>
        <v>82.547302158736869</v>
      </c>
      <c r="AC33" s="283">
        <v>13.3</v>
      </c>
      <c r="AD33" s="283">
        <f t="shared" ca="1" si="10"/>
        <v>13.035024598840227</v>
      </c>
      <c r="AE33" s="3">
        <f t="shared" ca="1" si="11"/>
        <v>122.87179794786196</v>
      </c>
      <c r="AF33" s="3">
        <f t="shared" ca="1" si="12"/>
        <v>214.63201637768111</v>
      </c>
      <c r="AG33" s="3">
        <f t="shared" ca="1" si="13"/>
        <v>572.47655788523355</v>
      </c>
      <c r="AH33" s="3">
        <f t="shared" ca="1" si="14"/>
        <v>167.10240790197184</v>
      </c>
      <c r="AI33" s="85">
        <f t="shared" si="189"/>
        <v>0.47445489343992692</v>
      </c>
      <c r="AJ33" s="85">
        <f t="shared" ca="1" si="15"/>
        <v>3.3734418402787085</v>
      </c>
      <c r="AK33" s="85">
        <f t="shared" si="16"/>
        <v>0.31523354114398772</v>
      </c>
      <c r="AL33" s="86">
        <f t="shared" ca="1" si="130"/>
        <v>0.28318673042028403</v>
      </c>
      <c r="AM33" s="85">
        <f t="shared" si="17"/>
        <v>0.35437267680000001</v>
      </c>
      <c r="AN33" s="85">
        <f t="shared" ca="1" si="190"/>
        <v>0.35437267679999979</v>
      </c>
      <c r="AO33" s="123">
        <f t="shared" ca="1" si="191"/>
        <v>41.180239619185699</v>
      </c>
      <c r="AP33" s="123">
        <f t="shared" ca="1" si="192"/>
        <v>8.1406437076485609</v>
      </c>
      <c r="AQ33" s="123">
        <f t="shared" ca="1" si="193"/>
        <v>50.679116673165737</v>
      </c>
      <c r="AR33" s="2"/>
      <c r="AS33" s="53">
        <f t="shared" ca="1" si="132"/>
        <v>79.729413122756725</v>
      </c>
      <c r="AT33" s="53">
        <f t="shared" ca="1" si="194"/>
        <v>91.734996651595779</v>
      </c>
      <c r="AU33" s="63">
        <f t="shared" ca="1" si="22"/>
        <v>0.35437267679999979</v>
      </c>
      <c r="AV33" s="53">
        <f t="shared" si="195"/>
        <v>1.8891083168540617</v>
      </c>
      <c r="AW33" s="53">
        <f t="shared" ca="1" si="196"/>
        <v>1.9100526444308021</v>
      </c>
      <c r="AX33" s="54">
        <f t="shared" si="197"/>
        <v>1741.9374961755198</v>
      </c>
      <c r="AY33" s="54">
        <f t="shared" si="198"/>
        <v>1670.2071013835107</v>
      </c>
      <c r="AZ33" s="54">
        <f t="shared" ca="1" si="26"/>
        <v>1675.4902462461087</v>
      </c>
      <c r="BA33" s="34"/>
      <c r="BB33" s="63">
        <f t="shared" ca="1" si="27"/>
        <v>0.29189388735716837</v>
      </c>
      <c r="BC33" s="63">
        <f t="shared" ca="1" si="28"/>
        <v>8.4331706995864536E-2</v>
      </c>
      <c r="BD33" s="53">
        <f t="shared" si="29"/>
        <v>0.12559799999999999</v>
      </c>
      <c r="BE33" s="53">
        <f t="shared" ca="1" si="30"/>
        <v>0.3458532747143368</v>
      </c>
      <c r="BF33" s="53">
        <f t="shared" ca="1" si="31"/>
        <v>0.21812853528801357</v>
      </c>
      <c r="BH33" s="53">
        <f t="shared" si="32"/>
        <v>0.16173749999999998</v>
      </c>
      <c r="BI33" s="53">
        <f t="shared" si="33"/>
        <v>0.23793449999999988</v>
      </c>
      <c r="BK33" s="53">
        <f t="shared" si="134"/>
        <v>0.47381709668911576</v>
      </c>
      <c r="BL33" s="53">
        <f t="shared" si="135"/>
        <v>0.13696378130559447</v>
      </c>
      <c r="BM33" s="53">
        <f t="shared" si="136"/>
        <v>0.21314898102436836</v>
      </c>
      <c r="BN33" s="53">
        <f t="shared" si="137"/>
        <v>0.67884177524487221</v>
      </c>
      <c r="BO33" s="53">
        <f t="shared" si="138"/>
        <v>0.66905218239733311</v>
      </c>
      <c r="BP33" s="53">
        <f t="shared" si="139"/>
        <v>0.59834823843214346</v>
      </c>
      <c r="BQ33" s="54">
        <f t="shared" si="140"/>
        <v>1489.8900639999999</v>
      </c>
      <c r="BR33" s="262">
        <f t="shared" si="141"/>
        <v>6.6854666331316981</v>
      </c>
      <c r="BS33" s="54">
        <f t="shared" si="142"/>
        <v>1763.8567032972155</v>
      </c>
      <c r="BU33" s="2">
        <f t="shared" si="37"/>
        <v>0.74816910785619184</v>
      </c>
      <c r="BV33" s="2">
        <f t="shared" si="38"/>
        <v>9.3867334167709628E-3</v>
      </c>
      <c r="BW33" s="2">
        <f t="shared" si="39"/>
        <v>0.10337387210670851</v>
      </c>
      <c r="BX33" s="2">
        <f t="shared" si="40"/>
        <v>0.17849686847599167</v>
      </c>
      <c r="BY33" s="2">
        <f t="shared" si="41"/>
        <v>3.3831406822667043E-3</v>
      </c>
      <c r="BZ33" s="2">
        <f t="shared" si="42"/>
        <v>0.56104218362282876</v>
      </c>
      <c r="CA33" s="2">
        <f t="shared" si="43"/>
        <v>0.1460413694721826</v>
      </c>
      <c r="CB33" s="2">
        <f t="shared" si="44"/>
        <v>1.9361084220716361E-3</v>
      </c>
      <c r="CC33" s="2">
        <f t="shared" si="45"/>
        <v>4.2462845010615713E-4</v>
      </c>
      <c r="CD33" s="2">
        <f t="shared" si="46"/>
        <v>0</v>
      </c>
      <c r="CE33" s="2">
        <f t="shared" si="47"/>
        <v>0</v>
      </c>
      <c r="CF33" s="2">
        <f t="shared" si="199"/>
        <v>1.7522540125051189</v>
      </c>
      <c r="CG33" s="2">
        <f t="shared" si="200"/>
        <v>0.42697525730676916</v>
      </c>
      <c r="CH33" s="2">
        <f t="shared" si="201"/>
        <v>5.3569478795777855E-3</v>
      </c>
      <c r="CI33" s="2">
        <f t="shared" si="202"/>
        <v>5.8994798339151479E-2</v>
      </c>
      <c r="CJ33" s="2">
        <f t="shared" si="203"/>
        <v>0.10186700512718627</v>
      </c>
      <c r="CK33" s="2">
        <f t="shared" si="204"/>
        <v>1.9307364446721853E-3</v>
      </c>
      <c r="CL33" s="2">
        <f t="shared" si="205"/>
        <v>0.3201831353324921</v>
      </c>
      <c r="CM33" s="2">
        <f t="shared" si="206"/>
        <v>8.3344862348692136E-2</v>
      </c>
      <c r="CN33" s="2">
        <f t="shared" si="207"/>
        <v>1.1049245190790967E-3</v>
      </c>
      <c r="CO33" s="2">
        <f t="shared" si="208"/>
        <v>2.4233270237976792E-4</v>
      </c>
      <c r="CP33" s="2">
        <f t="shared" si="209"/>
        <v>0</v>
      </c>
      <c r="CQ33" s="2">
        <f t="shared" si="210"/>
        <v>0</v>
      </c>
      <c r="CR33" s="2"/>
      <c r="CS33" s="2">
        <f t="shared" ca="1" si="52"/>
        <v>0.68542342908098697</v>
      </c>
      <c r="CT33" s="2">
        <f t="shared" ca="1" si="53"/>
        <v>0.11330053872858123</v>
      </c>
      <c r="CU33" s="2">
        <f t="shared" ca="1" si="54"/>
        <v>1.2575463194333931</v>
      </c>
      <c r="CV33" s="2">
        <f t="shared" ca="1" si="211"/>
        <v>2.0562702872429615</v>
      </c>
      <c r="CW33" s="2">
        <f t="shared" ca="1" si="212"/>
        <v>0.33333333333333326</v>
      </c>
      <c r="CX33" s="2">
        <f t="shared" ca="1" si="213"/>
        <v>5.51000223226948E-2</v>
      </c>
      <c r="CY33" s="2">
        <f t="shared" ca="1" si="214"/>
        <v>0.6115666443439719</v>
      </c>
      <c r="CZ33" s="2">
        <f t="shared" si="215"/>
        <v>0.5073257392530427</v>
      </c>
      <c r="DA33" s="2">
        <f t="shared" si="216"/>
        <v>0.42697525730676916</v>
      </c>
      <c r="DB33" s="2">
        <f t="shared" si="217"/>
        <v>-0.25042257505774046</v>
      </c>
      <c r="DC33" s="2"/>
      <c r="DD33" s="2">
        <f t="shared" si="218"/>
        <v>1741.9374961755198</v>
      </c>
      <c r="DE33" s="2">
        <f t="shared" si="219"/>
        <v>15580.148778023671</v>
      </c>
      <c r="DF33" s="2">
        <f t="shared" si="64"/>
        <v>7.7317480295985099</v>
      </c>
      <c r="DG33" s="2">
        <f t="shared" si="220"/>
        <v>1759.3571013835106</v>
      </c>
      <c r="DH33" s="2">
        <f t="shared" si="221"/>
        <v>1486.2071013835107</v>
      </c>
      <c r="DI33" s="2">
        <f t="shared" si="143"/>
        <v>13602.905801982104</v>
      </c>
      <c r="DJ33" s="2">
        <f t="shared" si="67"/>
        <v>7.7317480295985099</v>
      </c>
      <c r="DK33" s="2">
        <f t="shared" si="222"/>
        <v>1759.3571013835106</v>
      </c>
      <c r="DL33" s="2">
        <f t="shared" si="69"/>
        <v>4</v>
      </c>
      <c r="DM33" s="2">
        <f t="shared" si="223"/>
        <v>-0.25042257505774046</v>
      </c>
      <c r="DN33" s="2">
        <f t="shared" si="224"/>
        <v>0.5073257392530427</v>
      </c>
      <c r="DO33" s="2">
        <f t="shared" si="225"/>
        <v>0.42697525730676916</v>
      </c>
      <c r="DP33" s="2">
        <f t="shared" si="226"/>
        <v>1.8891083168540617</v>
      </c>
      <c r="DQ33" s="2">
        <f t="shared" si="74"/>
        <v>15580.199999999995</v>
      </c>
      <c r="DR33" s="2">
        <f t="shared" si="227"/>
        <v>7.7315248024263745</v>
      </c>
      <c r="DS33" s="2">
        <f t="shared" si="228"/>
        <v>1742.0023015370111</v>
      </c>
      <c r="DT33" s="2">
        <f t="shared" si="229"/>
        <v>1486.2764750636211</v>
      </c>
      <c r="DU33" s="2">
        <f t="shared" si="230"/>
        <v>1670.2764750636211</v>
      </c>
      <c r="DV33" s="9">
        <f t="shared" ca="1" si="231"/>
        <v>1.9100526444308021</v>
      </c>
      <c r="DW33" s="2">
        <f t="shared" ca="1" si="80"/>
        <v>2.8010388042079146</v>
      </c>
      <c r="DX33" s="2">
        <f t="shared" si="232"/>
        <v>4650.3599999999997</v>
      </c>
      <c r="DY33" s="2">
        <f t="shared" ca="1" si="233"/>
        <v>1660.2269104640416</v>
      </c>
      <c r="DZ33" s="2">
        <f t="shared" ca="1" si="234"/>
        <v>2.9231020861069976</v>
      </c>
      <c r="EA33" s="2"/>
      <c r="EB33" s="2">
        <f t="shared" si="83"/>
        <v>0.74816910785619184</v>
      </c>
      <c r="EC33" s="2">
        <f t="shared" si="84"/>
        <v>9.3867334167709628E-3</v>
      </c>
      <c r="ED33" s="2">
        <f t="shared" si="85"/>
        <v>5.1686936053354254E-2</v>
      </c>
      <c r="EE33" s="2">
        <f t="shared" si="86"/>
        <v>0.17849686847599167</v>
      </c>
      <c r="EF33" s="2">
        <f t="shared" si="87"/>
        <v>3.3831406822667043E-3</v>
      </c>
      <c r="EG33" s="2">
        <f t="shared" si="88"/>
        <v>0.56104218362282876</v>
      </c>
      <c r="EH33" s="2">
        <f t="shared" si="89"/>
        <v>0.1460413694721826</v>
      </c>
      <c r="EI33" s="2">
        <f t="shared" si="90"/>
        <v>9.6805421103581804E-4</v>
      </c>
      <c r="EJ33" s="2">
        <f t="shared" si="91"/>
        <v>2.1231422505307856E-4</v>
      </c>
      <c r="EK33" s="2">
        <f t="shared" si="92"/>
        <v>0</v>
      </c>
      <c r="EL33" s="2">
        <f t="shared" si="93"/>
        <v>0</v>
      </c>
      <c r="EM33" s="2">
        <f t="shared" si="235"/>
        <v>1.6993867080156759</v>
      </c>
      <c r="EN33" s="2">
        <f t="shared" si="236"/>
        <v>0.44025830279077971</v>
      </c>
      <c r="EO33" s="2">
        <f t="shared" si="237"/>
        <v>5.5236005863147988E-3</v>
      </c>
      <c r="EP33" s="2">
        <f t="shared" si="238"/>
        <v>3.0415052565467914E-2</v>
      </c>
      <c r="EQ33" s="2">
        <f t="shared" si="239"/>
        <v>0.10503605073174735</v>
      </c>
      <c r="ER33" s="2">
        <f t="shared" si="240"/>
        <v>1.9908009556089202E-3</v>
      </c>
      <c r="ES33" s="2">
        <f t="shared" si="241"/>
        <v>0.3301439166120943</v>
      </c>
      <c r="ET33" s="2">
        <f t="shared" si="242"/>
        <v>8.5937690805355793E-2</v>
      </c>
      <c r="EU33" s="2">
        <f t="shared" si="243"/>
        <v>5.6964916017625353E-4</v>
      </c>
      <c r="EV33" s="2">
        <f t="shared" si="244"/>
        <v>1.2493579245479193E-4</v>
      </c>
      <c r="EW33" s="2">
        <f t="shared" si="245"/>
        <v>0</v>
      </c>
      <c r="EX33" s="2">
        <f t="shared" si="246"/>
        <v>0</v>
      </c>
      <c r="EY33" s="2">
        <f t="shared" si="247"/>
        <v>0.99999999999999978</v>
      </c>
      <c r="EZ33" s="2">
        <f t="shared" si="97"/>
        <v>5.8994798339151479E-2</v>
      </c>
      <c r="FA33" s="2">
        <f t="shared" si="98"/>
        <v>0.49132700352549846</v>
      </c>
      <c r="FB33" s="2">
        <f t="shared" si="99"/>
        <v>1.4611559757451928</v>
      </c>
      <c r="FC33" s="2">
        <f t="shared" si="248"/>
        <v>0.95700393738839185</v>
      </c>
      <c r="FD33" s="2">
        <f t="shared" si="249"/>
        <v>1.9477943009878269</v>
      </c>
      <c r="FE33" s="2">
        <f t="shared" ca="1" si="102"/>
        <v>0.12568729169277659</v>
      </c>
      <c r="FF33" s="2">
        <f t="shared" ca="1" si="103"/>
        <v>0.12568729169277665</v>
      </c>
      <c r="FG33" s="2">
        <f t="shared" ca="1" si="104"/>
        <v>0.20584500645480347</v>
      </c>
      <c r="FH33" s="2">
        <f t="shared" ca="1" si="105"/>
        <v>-2.0038512460981535</v>
      </c>
      <c r="FI33" s="2">
        <f t="shared" ca="1" si="106"/>
        <v>1.0549756181607627E-2</v>
      </c>
      <c r="FJ33" s="2">
        <f t="shared" ca="1" si="107"/>
        <v>8.3936538368532099E-2</v>
      </c>
      <c r="FK33" s="2">
        <f t="shared" ca="1" si="108"/>
        <v>0.25424226873504419</v>
      </c>
      <c r="FL33" s="2">
        <f t="shared" ca="1" si="109"/>
        <v>9.0096513327342503E-2</v>
      </c>
      <c r="FM33" s="2">
        <f t="shared" ca="1" si="250"/>
        <v>0.35437267679999979</v>
      </c>
      <c r="FN33" s="2">
        <f t="shared" ca="1" si="251"/>
        <v>9.0096513327342517E-2</v>
      </c>
      <c r="FO33" s="2">
        <f t="shared" ca="1" si="110"/>
        <v>9.0096513327342559E-2</v>
      </c>
      <c r="FP33" s="2">
        <f t="shared" ca="1" si="252"/>
        <v>1.8346999330319156</v>
      </c>
      <c r="FQ33" s="2">
        <f t="shared" ca="1" si="253"/>
        <v>0.16530006696808441</v>
      </c>
      <c r="FR33" s="2">
        <f t="shared" si="148"/>
        <v>0.33333333333333331</v>
      </c>
      <c r="FS33" s="2">
        <f t="shared" ca="1" si="254"/>
        <v>5.5100022322694807E-2</v>
      </c>
      <c r="FT33" s="2">
        <f t="shared" ca="1" si="255"/>
        <v>0.6115666443439719</v>
      </c>
      <c r="FU33" s="2">
        <f t="shared" si="256"/>
        <v>20.026666666666664</v>
      </c>
      <c r="FV33" s="2">
        <f t="shared" ca="1" si="257"/>
        <v>3.9589366038856215</v>
      </c>
      <c r="FW33" s="2">
        <f t="shared" ca="1" si="258"/>
        <v>24.646135767062066</v>
      </c>
      <c r="FX33" s="2">
        <f t="shared" ca="1" si="259"/>
        <v>48.631739037614352</v>
      </c>
      <c r="FY33" s="2">
        <f t="shared" ca="1" si="260"/>
        <v>41.180239619185699</v>
      </c>
      <c r="FZ33" s="2">
        <f t="shared" ca="1" si="261"/>
        <v>8.1406437076485609</v>
      </c>
      <c r="GA33" s="2">
        <f t="shared" ca="1" si="262"/>
        <v>50.679116673165737</v>
      </c>
      <c r="GB33" s="2">
        <f t="shared" ca="1" si="263"/>
        <v>91.734996651595779</v>
      </c>
      <c r="GC33" s="2">
        <f t="shared" si="120"/>
        <v>4000000000</v>
      </c>
      <c r="GD33" s="2">
        <f t="shared" si="149"/>
        <v>38</v>
      </c>
      <c r="GE33">
        <f t="shared" si="150"/>
        <v>1570.0092115999998</v>
      </c>
      <c r="GF33">
        <f t="shared" si="151"/>
        <v>1569.9359999999999</v>
      </c>
      <c r="GG33">
        <f t="shared" si="152"/>
        <v>1874.2760000000003</v>
      </c>
      <c r="GH33" s="2">
        <f t="shared" si="153"/>
        <v>0.32947066236285288</v>
      </c>
      <c r="GI33" s="2">
        <f t="shared" si="154"/>
        <v>0.98699999999999988</v>
      </c>
      <c r="GJ33" s="2">
        <f t="shared" si="155"/>
        <v>-1.1860000000000004</v>
      </c>
      <c r="GK33" s="2">
        <f t="shared" si="156"/>
        <v>1.2039999999999997</v>
      </c>
      <c r="GL33" s="2">
        <f t="shared" si="157"/>
        <v>-0.32947066236285288</v>
      </c>
      <c r="GM33">
        <f t="shared" si="158"/>
        <v>0.32834994462901457</v>
      </c>
      <c r="GN33">
        <f t="shared" si="159"/>
        <v>3.5400617873621851E-2</v>
      </c>
      <c r="GO33">
        <f t="shared" si="160"/>
        <v>-0.13458529707177633</v>
      </c>
      <c r="GP33">
        <f t="shared" si="161"/>
        <v>-0.13682336476862664</v>
      </c>
      <c r="GQ33">
        <f t="shared" si="162"/>
        <v>0.27325581395348841</v>
      </c>
      <c r="GR33">
        <f t="shared" si="163"/>
        <v>0.10781368613787694</v>
      </c>
      <c r="GS33">
        <f t="shared" si="164"/>
        <v>3.7638685570472161E-2</v>
      </c>
      <c r="GT33">
        <f t="shared" si="165"/>
        <v>4.5283326368835289E-3</v>
      </c>
      <c r="GU33">
        <f t="shared" si="166"/>
        <v>0.48593122957824131</v>
      </c>
      <c r="GV33">
        <f t="shared" si="167"/>
        <v>-0.34046407751814012</v>
      </c>
      <c r="GW33">
        <f t="shared" si="168"/>
        <v>0.47381709668911576</v>
      </c>
      <c r="GX33" s="2"/>
      <c r="GY33" s="15">
        <f t="shared" si="169"/>
        <v>0.19919944870652978</v>
      </c>
      <c r="GZ33" s="2">
        <f t="shared" si="170"/>
        <v>3.5938653151782712E-2</v>
      </c>
      <c r="HA33" s="2">
        <f t="shared" si="171"/>
        <v>7.5849908669758007E-2</v>
      </c>
      <c r="HB33" s="2">
        <f t="shared" si="172"/>
        <v>0.31098801052807051</v>
      </c>
      <c r="HC33" s="2">
        <f t="shared" si="173"/>
        <v>0.64053739039097002</v>
      </c>
      <c r="HD33" s="2">
        <f t="shared" si="174"/>
        <v>0.11556282536666733</v>
      </c>
      <c r="HE33" s="2">
        <f t="shared" si="175"/>
        <v>0.24389978424236267</v>
      </c>
      <c r="HF33" s="2">
        <f t="shared" si="176"/>
        <v>-1.277123655732447</v>
      </c>
      <c r="HG33" s="2">
        <f t="shared" si="177"/>
        <v>-1.2795731435378459</v>
      </c>
      <c r="HH33" s="2">
        <f t="shared" si="178"/>
        <v>-1.2783483996351466</v>
      </c>
      <c r="HI33" s="2">
        <f t="shared" si="179"/>
        <v>2.6675351320853156</v>
      </c>
      <c r="HJ33" s="2">
        <f t="shared" si="180"/>
        <v>0.15292483648863278</v>
      </c>
      <c r="HK33" s="2">
        <f t="shared" si="181"/>
        <v>0.34840962827366562</v>
      </c>
      <c r="HL33" s="2">
        <f t="shared" si="182"/>
        <v>0.62534113060428842</v>
      </c>
    </row>
    <row r="34" spans="1:220" ht="20.25">
      <c r="A34" s="88" t="s">
        <v>151</v>
      </c>
      <c r="B34" s="77">
        <v>3710</v>
      </c>
      <c r="C34" s="94">
        <f t="shared" si="126"/>
        <v>-2.6442043407532232</v>
      </c>
      <c r="D34" s="59">
        <f t="shared" si="183"/>
        <v>-2.2444288643163706</v>
      </c>
      <c r="E34" s="60">
        <f t="shared" si="184"/>
        <v>-2.6442043407532232</v>
      </c>
      <c r="F34" s="84">
        <v>42.07</v>
      </c>
      <c r="G34" s="84">
        <v>0.79</v>
      </c>
      <c r="H34" s="84">
        <v>5.58</v>
      </c>
      <c r="I34" s="84">
        <v>14.265000000000001</v>
      </c>
      <c r="J34" s="84">
        <v>0.25</v>
      </c>
      <c r="K34" s="84">
        <v>23.45</v>
      </c>
      <c r="L34" s="84">
        <v>6.8</v>
      </c>
      <c r="M34" s="84">
        <v>7.0000000000000007E-2</v>
      </c>
      <c r="N34" s="84">
        <v>0.03</v>
      </c>
      <c r="O34" s="84"/>
      <c r="P34" s="84"/>
      <c r="Q34" s="84"/>
      <c r="R34" s="3">
        <f t="shared" si="185"/>
        <v>93.304999999999993</v>
      </c>
      <c r="S34" s="135">
        <v>4</v>
      </c>
      <c r="T34" s="288">
        <f t="shared" si="186"/>
        <v>0.34717137000000003</v>
      </c>
      <c r="U34" s="54">
        <f t="shared" si="187"/>
        <v>1701.6340432125721</v>
      </c>
      <c r="V34" s="54">
        <f t="shared" ca="1" si="188"/>
        <v>1703.0540236641016</v>
      </c>
      <c r="W34" s="54">
        <f t="shared" si="5"/>
        <v>1701.6340432125721</v>
      </c>
      <c r="X34" s="101">
        <f t="shared" ca="1" si="6"/>
        <v>1878.8153026134694</v>
      </c>
      <c r="Y34" s="101">
        <f t="shared" ca="1" si="7"/>
        <v>1649.8540236641015</v>
      </c>
      <c r="Z34" s="50">
        <f t="shared" ca="1" si="8"/>
        <v>1827.0861337337853</v>
      </c>
      <c r="AA34" s="50">
        <f t="shared" ca="1" si="9"/>
        <v>1802.0403467911137</v>
      </c>
      <c r="AB34" s="103">
        <f t="shared" ca="1" si="128"/>
        <v>122.66087645233628</v>
      </c>
      <c r="AC34" s="283">
        <v>13.3</v>
      </c>
      <c r="AD34" s="283">
        <f t="shared" ca="1" si="10"/>
        <v>13.237992912030018</v>
      </c>
      <c r="AE34" s="3">
        <f t="shared" ca="1" si="11"/>
        <v>124.17916542721474</v>
      </c>
      <c r="AF34" s="3">
        <f t="shared" ca="1" si="12"/>
        <v>214.81803379196947</v>
      </c>
      <c r="AG34" s="3">
        <f t="shared" ca="1" si="13"/>
        <v>578.06676299565368</v>
      </c>
      <c r="AH34" s="3">
        <f t="shared" ca="1" si="14"/>
        <v>151.93829477513205</v>
      </c>
      <c r="AI34" s="85">
        <f t="shared" si="189"/>
        <v>0.51672899736161881</v>
      </c>
      <c r="AJ34" s="85">
        <f t="shared" ca="1" si="15"/>
        <v>3.9641980949783595</v>
      </c>
      <c r="AK34" s="85">
        <f t="shared" si="16"/>
        <v>0.30544359149114597</v>
      </c>
      <c r="AL34" s="86">
        <f t="shared" ca="1" si="130"/>
        <v>0.28170072983072636</v>
      </c>
      <c r="AM34" s="85">
        <f t="shared" si="17"/>
        <v>0.34717137000000003</v>
      </c>
      <c r="AN34" s="85">
        <f t="shared" ca="1" si="190"/>
        <v>0.3471713700000002</v>
      </c>
      <c r="AO34" s="123">
        <f t="shared" ca="1" si="191"/>
        <v>41.090711020176791</v>
      </c>
      <c r="AP34" s="123">
        <f t="shared" ca="1" si="192"/>
        <v>8.6180538410581278</v>
      </c>
      <c r="AQ34" s="123">
        <f t="shared" ca="1" si="193"/>
        <v>50.291235138765096</v>
      </c>
      <c r="AR34" s="2"/>
      <c r="AS34" s="53">
        <f t="shared" ca="1" si="132"/>
        <v>78.317471369886704</v>
      </c>
      <c r="AT34" s="53">
        <f t="shared" ca="1" si="194"/>
        <v>91.23122952091434</v>
      </c>
      <c r="AU34" s="63">
        <f t="shared" ca="1" si="22"/>
        <v>0.3471713700000002</v>
      </c>
      <c r="AV34" s="53">
        <f t="shared" si="195"/>
        <v>1.7837308082540633</v>
      </c>
      <c r="AW34" s="53">
        <f t="shared" ca="1" si="196"/>
        <v>1.8058282845559372</v>
      </c>
      <c r="AX34" s="54">
        <f t="shared" si="197"/>
        <v>1777.9324840452236</v>
      </c>
      <c r="AY34" s="54">
        <f t="shared" si="198"/>
        <v>1701.6340432125721</v>
      </c>
      <c r="AZ34" s="54">
        <f t="shared" ca="1" si="26"/>
        <v>1703.0540236641016</v>
      </c>
      <c r="BA34" s="34"/>
      <c r="BB34" s="63">
        <f t="shared" ca="1" si="27"/>
        <v>0.26283866241981885</v>
      </c>
      <c r="BC34" s="63">
        <f t="shared" ca="1" si="28"/>
        <v>0.1387423945432055</v>
      </c>
      <c r="BD34" s="53">
        <f t="shared" si="29"/>
        <v>0</v>
      </c>
      <c r="BE34" s="53">
        <f t="shared" ca="1" si="30"/>
        <v>0.33955402483963781</v>
      </c>
      <c r="BF34" s="53">
        <f t="shared" ca="1" si="31"/>
        <v>0.27515625370153851</v>
      </c>
      <c r="BH34" s="53">
        <f t="shared" si="32"/>
        <v>7.9369499999999815E-2</v>
      </c>
      <c r="BI34" s="53">
        <f t="shared" si="33"/>
        <v>0.18612329999999985</v>
      </c>
      <c r="BK34" s="53">
        <f t="shared" si="134"/>
        <v>0.6085143214735278</v>
      </c>
      <c r="BL34" s="53">
        <f t="shared" si="135"/>
        <v>-2.8001408031518998E-2</v>
      </c>
      <c r="BM34" s="53" t="e">
        <f t="shared" si="136"/>
        <v>#NUM!</v>
      </c>
      <c r="BN34" s="53">
        <f t="shared" si="137"/>
        <v>0.629592969586389</v>
      </c>
      <c r="BO34" s="53">
        <f t="shared" si="138"/>
        <v>0.49856982390528581</v>
      </c>
      <c r="BP34" s="53">
        <f t="shared" si="139"/>
        <v>0.43034592589349885</v>
      </c>
      <c r="BQ34" s="54">
        <f t="shared" si="140"/>
        <v>1504.1955999999998</v>
      </c>
      <c r="BR34" s="262">
        <f t="shared" si="141"/>
        <v>7.4407179485921464</v>
      </c>
      <c r="BS34" s="54">
        <f t="shared" si="142"/>
        <v>1799.5345345418705</v>
      </c>
      <c r="BU34" s="2">
        <f t="shared" si="37"/>
        <v>0.70023302263648468</v>
      </c>
      <c r="BV34" s="2">
        <f t="shared" si="38"/>
        <v>9.8873591989987481E-3</v>
      </c>
      <c r="BW34" s="2">
        <f t="shared" si="39"/>
        <v>0.10945468811298549</v>
      </c>
      <c r="BX34" s="2">
        <f t="shared" si="40"/>
        <v>0.19853862212943635</v>
      </c>
      <c r="BY34" s="2">
        <f t="shared" si="41"/>
        <v>3.5241048773611504E-3</v>
      </c>
      <c r="BZ34" s="2">
        <f t="shared" si="42"/>
        <v>0.58188585607940446</v>
      </c>
      <c r="CA34" s="2">
        <f t="shared" si="43"/>
        <v>0.12125534950071326</v>
      </c>
      <c r="CB34" s="2">
        <f t="shared" si="44"/>
        <v>2.2587931590835756E-3</v>
      </c>
      <c r="CC34" s="2">
        <f t="shared" si="45"/>
        <v>6.3694267515923564E-4</v>
      </c>
      <c r="CD34" s="2">
        <f t="shared" si="46"/>
        <v>0</v>
      </c>
      <c r="CE34" s="2">
        <f t="shared" si="47"/>
        <v>0</v>
      </c>
      <c r="CF34" s="2">
        <f t="shared" si="199"/>
        <v>1.7276747383696271</v>
      </c>
      <c r="CG34" s="2">
        <f t="shared" si="200"/>
        <v>0.40530373402188014</v>
      </c>
      <c r="CH34" s="2">
        <f t="shared" si="201"/>
        <v>5.7229286157933039E-3</v>
      </c>
      <c r="CI34" s="2">
        <f t="shared" si="202"/>
        <v>6.3353758483657485E-2</v>
      </c>
      <c r="CJ34" s="2">
        <f t="shared" si="203"/>
        <v>0.11491666673137407</v>
      </c>
      <c r="CK34" s="2">
        <f t="shared" si="204"/>
        <v>2.0397964958883286E-3</v>
      </c>
      <c r="CL34" s="2">
        <f t="shared" si="205"/>
        <v>0.3368028964922638</v>
      </c>
      <c r="CM34" s="2">
        <f t="shared" si="206"/>
        <v>7.0184130616587917E-2</v>
      </c>
      <c r="CN34" s="2">
        <f t="shared" si="207"/>
        <v>1.3074180625081979E-3</v>
      </c>
      <c r="CO34" s="2">
        <f t="shared" si="208"/>
        <v>3.6867048004667009E-4</v>
      </c>
      <c r="CP34" s="2">
        <f t="shared" si="209"/>
        <v>0</v>
      </c>
      <c r="CQ34" s="2">
        <f t="shared" si="210"/>
        <v>0</v>
      </c>
      <c r="CR34" s="2"/>
      <c r="CS34" s="2">
        <f t="shared" ca="1" si="52"/>
        <v>0.68393327263942727</v>
      </c>
      <c r="CT34" s="2">
        <f t="shared" ca="1" si="53"/>
        <v>0.11994507781570116</v>
      </c>
      <c r="CU34" s="2">
        <f t="shared" ca="1" si="54"/>
        <v>1.2479214674631538</v>
      </c>
      <c r="CV34" s="2">
        <f t="shared" ca="1" si="211"/>
        <v>2.0517998179182824</v>
      </c>
      <c r="CW34" s="2">
        <f t="shared" ca="1" si="212"/>
        <v>0.33333333333333326</v>
      </c>
      <c r="CX34" s="2">
        <f t="shared" ca="1" si="213"/>
        <v>5.8458469860571086E-2</v>
      </c>
      <c r="CY34" s="2">
        <f t="shared" ca="1" si="214"/>
        <v>0.60820819680609561</v>
      </c>
      <c r="CZ34" s="2">
        <f t="shared" si="215"/>
        <v>0.5239434903361142</v>
      </c>
      <c r="DA34" s="2">
        <f t="shared" si="216"/>
        <v>0.40530373402188014</v>
      </c>
      <c r="DB34" s="2">
        <f t="shared" si="217"/>
        <v>-0.26924921243768274</v>
      </c>
      <c r="DC34" s="2"/>
      <c r="DD34" s="2">
        <f t="shared" si="218"/>
        <v>1777.9324840452236</v>
      </c>
      <c r="DE34" s="2">
        <f t="shared" si="219"/>
        <v>15580.148778023671</v>
      </c>
      <c r="DF34" s="2">
        <f t="shared" si="64"/>
        <v>7.5960615427303058</v>
      </c>
      <c r="DG34" s="2">
        <f t="shared" si="220"/>
        <v>1790.784043212572</v>
      </c>
      <c r="DH34" s="2">
        <f t="shared" si="221"/>
        <v>1517.6340432125721</v>
      </c>
      <c r="DI34" s="2">
        <f t="shared" si="143"/>
        <v>13602.905801982104</v>
      </c>
      <c r="DJ34" s="2">
        <f t="shared" si="67"/>
        <v>7.5960615427303058</v>
      </c>
      <c r="DK34" s="2">
        <f t="shared" si="222"/>
        <v>1790.784043212572</v>
      </c>
      <c r="DL34" s="2">
        <f t="shared" si="69"/>
        <v>4</v>
      </c>
      <c r="DM34" s="2">
        <f t="shared" si="223"/>
        <v>-0.26924921243768274</v>
      </c>
      <c r="DN34" s="2">
        <f t="shared" si="224"/>
        <v>0.52394349033611409</v>
      </c>
      <c r="DO34" s="2">
        <f t="shared" si="225"/>
        <v>0.40530373402188014</v>
      </c>
      <c r="DP34" s="2">
        <f t="shared" si="226"/>
        <v>1.7837308082540633</v>
      </c>
      <c r="DQ34" s="2">
        <f t="shared" si="74"/>
        <v>15580.199999999995</v>
      </c>
      <c r="DR34" s="2">
        <f t="shared" si="227"/>
        <v>7.5958383155581695</v>
      </c>
      <c r="DS34" s="2">
        <f t="shared" si="228"/>
        <v>1777.9995048660876</v>
      </c>
      <c r="DT34" s="2">
        <f t="shared" si="229"/>
        <v>1517.7055797110056</v>
      </c>
      <c r="DU34" s="2">
        <f t="shared" si="230"/>
        <v>1701.7055797110056</v>
      </c>
      <c r="DV34" s="9">
        <f t="shared" ca="1" si="231"/>
        <v>1.8058282845559372</v>
      </c>
      <c r="DW34" s="2">
        <f t="shared" ca="1" si="80"/>
        <v>2.7439043699405419</v>
      </c>
      <c r="DX34" s="2">
        <f t="shared" si="232"/>
        <v>4650.3599999999997</v>
      </c>
      <c r="DY34" s="2">
        <f t="shared" ca="1" si="233"/>
        <v>1694.7966740184786</v>
      </c>
      <c r="DZ34" s="2">
        <f t="shared" ca="1" si="234"/>
        <v>2.836521949942711</v>
      </c>
      <c r="EA34" s="2"/>
      <c r="EB34" s="2">
        <f t="shared" si="83"/>
        <v>0.70023302263648468</v>
      </c>
      <c r="EC34" s="2">
        <f t="shared" si="84"/>
        <v>9.8873591989987481E-3</v>
      </c>
      <c r="ED34" s="2">
        <f t="shared" si="85"/>
        <v>5.4727344056492745E-2</v>
      </c>
      <c r="EE34" s="2">
        <f t="shared" si="86"/>
        <v>0.19853862212943635</v>
      </c>
      <c r="EF34" s="2">
        <f t="shared" si="87"/>
        <v>3.5241048773611504E-3</v>
      </c>
      <c r="EG34" s="2">
        <f t="shared" si="88"/>
        <v>0.58188585607940446</v>
      </c>
      <c r="EH34" s="2">
        <f t="shared" si="89"/>
        <v>0.12125534950071326</v>
      </c>
      <c r="EI34" s="2">
        <f t="shared" si="90"/>
        <v>1.1293965795417878E-3</v>
      </c>
      <c r="EJ34" s="2">
        <f t="shared" si="91"/>
        <v>3.1847133757961782E-4</v>
      </c>
      <c r="EK34" s="2">
        <f t="shared" si="92"/>
        <v>0</v>
      </c>
      <c r="EL34" s="2">
        <f t="shared" si="93"/>
        <v>0</v>
      </c>
      <c r="EM34" s="2">
        <f t="shared" si="235"/>
        <v>1.6714995263960128</v>
      </c>
      <c r="EN34" s="2">
        <f t="shared" si="236"/>
        <v>0.4189250499796941</v>
      </c>
      <c r="EO34" s="2">
        <f t="shared" si="237"/>
        <v>5.9152629377749689E-3</v>
      </c>
      <c r="EP34" s="2">
        <f t="shared" si="238"/>
        <v>3.2741465487873975E-2</v>
      </c>
      <c r="EQ34" s="2">
        <f t="shared" si="239"/>
        <v>0.11877874865900406</v>
      </c>
      <c r="ER34" s="2">
        <f t="shared" si="240"/>
        <v>2.1083493125239553E-3</v>
      </c>
      <c r="ES34" s="2">
        <f t="shared" si="241"/>
        <v>0.34812205860089707</v>
      </c>
      <c r="ET34" s="2">
        <f t="shared" si="242"/>
        <v>7.2542856031886996E-2</v>
      </c>
      <c r="EU34" s="2">
        <f t="shared" si="243"/>
        <v>6.7567867157995851E-4</v>
      </c>
      <c r="EV34" s="2">
        <f t="shared" si="244"/>
        <v>1.9053031876490367E-4</v>
      </c>
      <c r="EW34" s="2">
        <f t="shared" si="245"/>
        <v>0</v>
      </c>
      <c r="EX34" s="2">
        <f t="shared" si="246"/>
        <v>0</v>
      </c>
      <c r="EY34" s="2">
        <f t="shared" si="247"/>
        <v>0.99999999999999989</v>
      </c>
      <c r="EZ34" s="2">
        <f t="shared" si="97"/>
        <v>6.3353758483657485E-2</v>
      </c>
      <c r="FA34" s="2">
        <f t="shared" si="98"/>
        <v>0.47438042112133094</v>
      </c>
      <c r="FB34" s="2">
        <f t="shared" si="99"/>
        <v>1.4418654976082248</v>
      </c>
      <c r="FC34" s="2">
        <f t="shared" si="248"/>
        <v>0.98620931073112583</v>
      </c>
      <c r="FD34" s="2">
        <f t="shared" si="249"/>
        <v>2.0789418509304074</v>
      </c>
      <c r="FE34" s="2">
        <f t="shared" ca="1" si="102"/>
        <v>0.11620601801176564</v>
      </c>
      <c r="FF34" s="2">
        <f t="shared" ca="1" si="103"/>
        <v>0.11620601801176564</v>
      </c>
      <c r="FG34" s="2">
        <f t="shared" ca="1" si="104"/>
        <v>0.2180102538785007</v>
      </c>
      <c r="FH34" s="2">
        <f t="shared" ca="1" si="105"/>
        <v>-1.9217729897894285</v>
      </c>
      <c r="FI34" s="2">
        <f t="shared" ca="1" si="106"/>
        <v>1.1199830091418925E-2</v>
      </c>
      <c r="FJ34" s="2">
        <f t="shared" ca="1" si="107"/>
        <v>9.6379088476166219E-2</v>
      </c>
      <c r="FK34" s="2">
        <f t="shared" ca="1" si="108"/>
        <v>0.27685429893042079</v>
      </c>
      <c r="FL34" s="2">
        <f t="shared" ca="1" si="109"/>
        <v>9.6115886250063773E-2</v>
      </c>
      <c r="FM34" s="2">
        <f t="shared" ca="1" si="250"/>
        <v>0.3471713700000002</v>
      </c>
      <c r="FN34" s="2">
        <f t="shared" ca="1" si="251"/>
        <v>9.6115886250063787E-2</v>
      </c>
      <c r="FO34" s="2">
        <f t="shared" ca="1" si="110"/>
        <v>9.6115886250063731E-2</v>
      </c>
      <c r="FP34" s="2">
        <f t="shared" ca="1" si="252"/>
        <v>1.8246245904182867</v>
      </c>
      <c r="FQ34" s="2">
        <f t="shared" ca="1" si="253"/>
        <v>0.17537540958171327</v>
      </c>
      <c r="FR34" s="2">
        <f t="shared" si="148"/>
        <v>0.33333333333333331</v>
      </c>
      <c r="FS34" s="2">
        <f t="shared" ca="1" si="254"/>
        <v>5.8458469860571093E-2</v>
      </c>
      <c r="FT34" s="2">
        <f t="shared" ca="1" si="255"/>
        <v>0.60820819680609561</v>
      </c>
      <c r="FU34" s="2">
        <f t="shared" si="256"/>
        <v>20.026666666666664</v>
      </c>
      <c r="FV34" s="2">
        <f t="shared" ca="1" si="257"/>
        <v>4.2002410594820327</v>
      </c>
      <c r="FW34" s="2">
        <f t="shared" ca="1" si="258"/>
        <v>24.510790331285651</v>
      </c>
      <c r="FX34" s="2">
        <f t="shared" ca="1" si="259"/>
        <v>48.737698057434343</v>
      </c>
      <c r="FY34" s="2">
        <f t="shared" ca="1" si="260"/>
        <v>41.090711020176791</v>
      </c>
      <c r="FZ34" s="2">
        <f t="shared" ca="1" si="261"/>
        <v>8.6180538410581278</v>
      </c>
      <c r="GA34" s="2">
        <f t="shared" ca="1" si="262"/>
        <v>50.291235138765096</v>
      </c>
      <c r="GB34" s="2">
        <f t="shared" ca="1" si="263"/>
        <v>91.23122952091434</v>
      </c>
      <c r="GC34" s="2">
        <f t="shared" si="120"/>
        <v>4000000000</v>
      </c>
      <c r="GD34" s="2">
        <f t="shared" si="149"/>
        <v>38</v>
      </c>
      <c r="GE34">
        <f t="shared" si="150"/>
        <v>1570.0092115999998</v>
      </c>
      <c r="GF34">
        <f t="shared" si="151"/>
        <v>1569.9359999999999</v>
      </c>
      <c r="GG34">
        <f t="shared" si="152"/>
        <v>1874.2760000000003</v>
      </c>
      <c r="GH34" s="2">
        <f t="shared" si="153"/>
        <v>0.43273326941109297</v>
      </c>
      <c r="GI34" s="2">
        <f t="shared" si="154"/>
        <v>0.98699999999999988</v>
      </c>
      <c r="GJ34" s="2">
        <f t="shared" si="155"/>
        <v>-1.1860000000000004</v>
      </c>
      <c r="GK34" s="2">
        <f t="shared" si="156"/>
        <v>1.2039999999999997</v>
      </c>
      <c r="GL34" s="2">
        <f t="shared" si="157"/>
        <v>-0.43273326941109297</v>
      </c>
      <c r="GM34">
        <f t="shared" si="158"/>
        <v>0.32834994462901457</v>
      </c>
      <c r="GN34">
        <f t="shared" si="159"/>
        <v>3.5400617873621851E-2</v>
      </c>
      <c r="GO34">
        <f t="shared" si="160"/>
        <v>-0.13458529707177633</v>
      </c>
      <c r="GP34">
        <f t="shared" si="161"/>
        <v>-0.17970650723052037</v>
      </c>
      <c r="GQ34">
        <f t="shared" si="162"/>
        <v>0.27325581395348841</v>
      </c>
      <c r="GR34">
        <f t="shared" si="163"/>
        <v>0.10781368613787694</v>
      </c>
      <c r="GS34">
        <f t="shared" si="164"/>
        <v>8.0521828032365891E-2</v>
      </c>
      <c r="GT34">
        <f t="shared" si="165"/>
        <v>4.5283326368835289E-3</v>
      </c>
      <c r="GU34">
        <f t="shared" si="166"/>
        <v>0.57027417733973995</v>
      </c>
      <c r="GV34">
        <f t="shared" si="167"/>
        <v>-0.29010980049522667</v>
      </c>
      <c r="GW34">
        <f t="shared" si="168"/>
        <v>0.6085143214735278</v>
      </c>
      <c r="GX34" s="2"/>
      <c r="GY34" s="15">
        <f t="shared" si="169"/>
        <v>0.22371052904137323</v>
      </c>
      <c r="GZ34" s="2">
        <f t="shared" si="170"/>
        <v>3.8656728425648941E-2</v>
      </c>
      <c r="HA34" s="2">
        <f t="shared" si="171"/>
        <v>5.7208418886974186E-2</v>
      </c>
      <c r="HB34" s="2">
        <f t="shared" si="172"/>
        <v>0.31957567635399636</v>
      </c>
      <c r="HC34" s="2">
        <f t="shared" si="173"/>
        <v>0.70002364258025507</v>
      </c>
      <c r="HD34" s="2">
        <f t="shared" si="174"/>
        <v>0.12096267421438106</v>
      </c>
      <c r="HE34" s="2">
        <f t="shared" si="175"/>
        <v>0.17901368320536382</v>
      </c>
      <c r="HF34" s="2">
        <f t="shared" si="176"/>
        <v>-1.3621864412932241</v>
      </c>
      <c r="HG34" s="2">
        <f t="shared" si="177"/>
        <v>-1.3519038032025847</v>
      </c>
      <c r="HH34" s="2">
        <f t="shared" si="178"/>
        <v>-1.3570451222479045</v>
      </c>
      <c r="HI34" s="2">
        <f t="shared" si="179"/>
        <v>2.2256909675379259</v>
      </c>
      <c r="HJ34" s="2">
        <f t="shared" si="180"/>
        <v>0.20831208898658624</v>
      </c>
      <c r="HK34" s="2">
        <f t="shared" si="181"/>
        <v>0.34951760221130107</v>
      </c>
      <c r="HL34" s="2">
        <f t="shared" si="182"/>
        <v>0.56221521205748326</v>
      </c>
    </row>
    <row r="35" spans="1:220" ht="20.25">
      <c r="A35" s="88" t="s">
        <v>152</v>
      </c>
      <c r="B35" s="77">
        <v>3500</v>
      </c>
      <c r="C35" s="94">
        <f t="shared" si="126"/>
        <v>-2.067550226400741</v>
      </c>
      <c r="D35" s="59">
        <f t="shared" si="183"/>
        <v>-1.6856329251409394</v>
      </c>
      <c r="E35" s="60">
        <f t="shared" si="184"/>
        <v>-2.067550226400741</v>
      </c>
      <c r="F35" s="84">
        <v>46.46</v>
      </c>
      <c r="G35" s="84">
        <v>0.19</v>
      </c>
      <c r="H35" s="84">
        <v>3.58</v>
      </c>
      <c r="I35" s="84">
        <v>10.28</v>
      </c>
      <c r="J35" s="84">
        <v>0.21</v>
      </c>
      <c r="K35" s="84">
        <v>32.97</v>
      </c>
      <c r="L35" s="84">
        <v>5.0999999999999996</v>
      </c>
      <c r="M35" s="84">
        <v>0.49</v>
      </c>
      <c r="N35" s="84">
        <v>0.18</v>
      </c>
      <c r="O35" s="84">
        <v>0.43</v>
      </c>
      <c r="P35" s="84">
        <v>0.01</v>
      </c>
      <c r="Q35" s="84"/>
      <c r="R35" s="3">
        <f t="shared" si="185"/>
        <v>99.9</v>
      </c>
      <c r="S35" s="135">
        <v>4</v>
      </c>
      <c r="T35" s="288">
        <f t="shared" si="186"/>
        <v>0.35798704929999997</v>
      </c>
      <c r="U35" s="54">
        <f t="shared" si="187"/>
        <v>1808.6311975828107</v>
      </c>
      <c r="V35" s="54">
        <f t="shared" ca="1" si="188"/>
        <v>1800.0863905964386</v>
      </c>
      <c r="W35" s="54">
        <f t="shared" si="5"/>
        <v>1808.6311975828107</v>
      </c>
      <c r="X35" s="101">
        <f t="shared" ca="1" si="6"/>
        <v>2286.7233579073877</v>
      </c>
      <c r="Y35" s="101">
        <f t="shared" ca="1" si="7"/>
        <v>2067.7925750197819</v>
      </c>
      <c r="Z35" s="50">
        <f t="shared" ca="1" si="8"/>
        <v>2259.6504454619135</v>
      </c>
      <c r="AA35" s="50">
        <f t="shared" ca="1" si="9"/>
        <v>2195.5782404120114</v>
      </c>
      <c r="AB35" s="103">
        <f t="shared" ca="1" si="128"/>
        <v>135.46497548221964</v>
      </c>
      <c r="AC35" s="283">
        <v>13.3</v>
      </c>
      <c r="AD35" s="283">
        <f t="shared" ca="1" si="10"/>
        <v>13.951209503774642</v>
      </c>
      <c r="AE35" s="3">
        <f t="shared" ca="1" si="11"/>
        <v>127.86264298503754</v>
      </c>
      <c r="AF35" s="3">
        <f t="shared" ca="1" si="12"/>
        <v>215.44972528759513</v>
      </c>
      <c r="AG35" s="3">
        <f t="shared" ca="1" si="13"/>
        <v>593.46858212215807</v>
      </c>
      <c r="AH35" s="3">
        <f t="shared" ca="1" si="14"/>
        <v>451.29668783067126</v>
      </c>
      <c r="AI35" s="85">
        <f t="shared" si="189"/>
        <v>0.6002954814960052</v>
      </c>
      <c r="AJ35" s="85">
        <f t="shared" ca="1" si="15"/>
        <v>4.9836760045322865</v>
      </c>
      <c r="AK35" s="85">
        <f t="shared" si="16"/>
        <v>0.30384102543716118</v>
      </c>
      <c r="AL35" s="86">
        <f t="shared" ca="1" si="130"/>
        <v>0.28769293955903519</v>
      </c>
      <c r="AM35" s="85">
        <f t="shared" si="17"/>
        <v>0.35798704929999997</v>
      </c>
      <c r="AN35" s="85">
        <f t="shared" ca="1" si="190"/>
        <v>0.35798704930000014</v>
      </c>
      <c r="AO35" s="123">
        <f t="shared" ca="1" si="191"/>
        <v>41.808545209601576</v>
      </c>
      <c r="AP35" s="123">
        <f t="shared" ca="1" si="192"/>
        <v>4.7902120124920433</v>
      </c>
      <c r="AQ35" s="123">
        <f t="shared" ca="1" si="193"/>
        <v>53.401242777906383</v>
      </c>
      <c r="AR35" s="2"/>
      <c r="AS35" s="53">
        <f t="shared" ca="1" si="132"/>
        <v>87.677408938132444</v>
      </c>
      <c r="AT35" s="53">
        <f t="shared" ca="1" si="194"/>
        <v>95.209698645054672</v>
      </c>
      <c r="AU35" s="63">
        <f t="shared" ca="1" si="22"/>
        <v>0.35798704930000014</v>
      </c>
      <c r="AV35" s="53">
        <f t="shared" si="195"/>
        <v>1.4846717512772643</v>
      </c>
      <c r="AW35" s="53">
        <f t="shared" ca="1" si="196"/>
        <v>1.4946131882595239</v>
      </c>
      <c r="AX35" s="54">
        <f t="shared" si="197"/>
        <v>1900.4821516074717</v>
      </c>
      <c r="AY35" s="54">
        <f t="shared" si="198"/>
        <v>1808.6311975828107</v>
      </c>
      <c r="AZ35" s="54">
        <f t="shared" ca="1" si="26"/>
        <v>1800.0863905964386</v>
      </c>
      <c r="BA35" s="34"/>
      <c r="BB35" s="63">
        <f t="shared" ca="1" si="27"/>
        <v>0.76043905511712073</v>
      </c>
      <c r="BC35" s="63">
        <f t="shared" ca="1" si="28"/>
        <v>0.1226808747502002</v>
      </c>
      <c r="BD35" s="53">
        <f t="shared" si="29"/>
        <v>0.67953199999999991</v>
      </c>
      <c r="BE35" s="53">
        <f t="shared" ca="1" si="30"/>
        <v>0.80058871023424127</v>
      </c>
      <c r="BF35" s="53">
        <f t="shared" ca="1" si="31"/>
        <v>0.47591010592220517</v>
      </c>
      <c r="BH35" s="53">
        <f t="shared" si="32"/>
        <v>0.72888799999999998</v>
      </c>
      <c r="BI35" s="53">
        <f t="shared" si="33"/>
        <v>0.72028940000000008</v>
      </c>
      <c r="BK35" s="53">
        <f t="shared" si="134"/>
        <v>0.88799316187794552</v>
      </c>
      <c r="BL35" s="53">
        <f t="shared" si="135"/>
        <v>0.86732587954515616</v>
      </c>
      <c r="BM35" s="53">
        <f t="shared" si="136"/>
        <v>0.89952018970216385</v>
      </c>
      <c r="BN35" s="53">
        <f t="shared" si="137"/>
        <v>1.9322611745996789</v>
      </c>
      <c r="BO35" s="53">
        <f t="shared" si="138"/>
        <v>0.61045839272239788</v>
      </c>
      <c r="BP35" s="53">
        <f t="shared" si="139"/>
        <v>0.51114829493741976</v>
      </c>
      <c r="BQ35" s="54">
        <f t="shared" si="140"/>
        <v>1650.5446559999998</v>
      </c>
      <c r="BR35" s="262">
        <f t="shared" si="141"/>
        <v>25.992005508997398</v>
      </c>
      <c r="BS35" s="54">
        <f t="shared" si="142"/>
        <v>2273.797029906731</v>
      </c>
      <c r="BU35" s="2">
        <f t="shared" si="37"/>
        <v>0.77330226364846877</v>
      </c>
      <c r="BV35" s="2">
        <f t="shared" si="38"/>
        <v>2.3779724655819774E-3</v>
      </c>
      <c r="BW35" s="2">
        <f t="shared" si="39"/>
        <v>7.0223617104746963E-2</v>
      </c>
      <c r="BX35" s="2">
        <f t="shared" si="40"/>
        <v>0.14307585247042451</v>
      </c>
      <c r="BY35" s="2">
        <f t="shared" si="41"/>
        <v>2.9602480969833662E-3</v>
      </c>
      <c r="BZ35" s="2">
        <f t="shared" si="42"/>
        <v>0.81811414392059556</v>
      </c>
      <c r="CA35" s="2">
        <f t="shared" si="43"/>
        <v>9.0941512125534946E-2</v>
      </c>
      <c r="CB35" s="2">
        <f t="shared" si="44"/>
        <v>1.5811552113585026E-2</v>
      </c>
      <c r="CC35" s="2">
        <f t="shared" si="45"/>
        <v>3.8216560509554136E-3</v>
      </c>
      <c r="CD35" s="2">
        <f t="shared" si="46"/>
        <v>5.658266991249424E-3</v>
      </c>
      <c r="CE35" s="2">
        <f t="shared" si="47"/>
        <v>1.409046075806679E-4</v>
      </c>
      <c r="CF35" s="2">
        <f t="shared" si="199"/>
        <v>1.926427989595707</v>
      </c>
      <c r="CG35" s="2">
        <f t="shared" si="200"/>
        <v>0.40141768486802309</v>
      </c>
      <c r="CH35" s="2">
        <f t="shared" si="201"/>
        <v>1.2343946819839524E-3</v>
      </c>
      <c r="CI35" s="2">
        <f t="shared" si="202"/>
        <v>3.6452759970272523E-2</v>
      </c>
      <c r="CJ35" s="2">
        <f t="shared" si="203"/>
        <v>7.4270023713915903E-2</v>
      </c>
      <c r="CK35" s="2">
        <f t="shared" si="204"/>
        <v>1.5366513116353876E-3</v>
      </c>
      <c r="CL35" s="2">
        <f t="shared" si="205"/>
        <v>0.42467932792665164</v>
      </c>
      <c r="CM35" s="2">
        <f t="shared" si="206"/>
        <v>4.7207324964490642E-2</v>
      </c>
      <c r="CN35" s="2">
        <f t="shared" si="207"/>
        <v>8.2077047255232956E-3</v>
      </c>
      <c r="CO35" s="2">
        <f t="shared" si="208"/>
        <v>1.9838042592796069E-3</v>
      </c>
      <c r="CP35" s="2">
        <f t="shared" si="209"/>
        <v>2.9371806378482414E-3</v>
      </c>
      <c r="CQ35" s="2">
        <f t="shared" si="210"/>
        <v>7.3142940375486897E-5</v>
      </c>
      <c r="CR35" s="2"/>
      <c r="CS35" s="2">
        <f t="shared" ca="1" si="52"/>
        <v>0.69588124516647099</v>
      </c>
      <c r="CT35" s="2">
        <f t="shared" ca="1" si="53"/>
        <v>6.6669617432039585E-2</v>
      </c>
      <c r="CU35" s="2">
        <f t="shared" ca="1" si="54"/>
        <v>1.3250928729009028</v>
      </c>
      <c r="CV35" s="2">
        <f t="shared" ca="1" si="211"/>
        <v>2.0876437354994133</v>
      </c>
      <c r="CW35" s="2">
        <f t="shared" ca="1" si="212"/>
        <v>0.33333333333333326</v>
      </c>
      <c r="CX35" s="2">
        <f t="shared" ca="1" si="213"/>
        <v>3.1935342366302098E-2</v>
      </c>
      <c r="CY35" s="2">
        <f t="shared" ca="1" si="214"/>
        <v>0.63473132430036472</v>
      </c>
      <c r="CZ35" s="2">
        <f t="shared" si="215"/>
        <v>0.54769332791669356</v>
      </c>
      <c r="DA35" s="2">
        <f t="shared" si="216"/>
        <v>0.40141768486802309</v>
      </c>
      <c r="DB35" s="2">
        <f t="shared" si="217"/>
        <v>-0.13861426973940255</v>
      </c>
      <c r="DC35" s="2"/>
      <c r="DD35" s="2">
        <f t="shared" si="218"/>
        <v>1900.4821516074717</v>
      </c>
      <c r="DE35" s="2">
        <f t="shared" si="219"/>
        <v>15580.148778023671</v>
      </c>
      <c r="DF35" s="2">
        <f t="shared" si="64"/>
        <v>7.1677945904975884</v>
      </c>
      <c r="DG35" s="2">
        <f t="shared" si="220"/>
        <v>1897.7811975828106</v>
      </c>
      <c r="DH35" s="2">
        <f t="shared" si="221"/>
        <v>1624.6311975828107</v>
      </c>
      <c r="DI35" s="2">
        <f t="shared" si="143"/>
        <v>13602.905801982104</v>
      </c>
      <c r="DJ35" s="2">
        <f t="shared" si="67"/>
        <v>7.1677945904975884</v>
      </c>
      <c r="DK35" s="2">
        <f t="shared" si="222"/>
        <v>1897.7811975828106</v>
      </c>
      <c r="DL35" s="2">
        <f t="shared" si="69"/>
        <v>4</v>
      </c>
      <c r="DM35" s="2">
        <f t="shared" si="223"/>
        <v>-0.13861426973940255</v>
      </c>
      <c r="DN35" s="2">
        <f t="shared" si="224"/>
        <v>0.54769332791669356</v>
      </c>
      <c r="DO35" s="2">
        <f t="shared" si="225"/>
        <v>0.40141768486802309</v>
      </c>
      <c r="DP35" s="2">
        <f t="shared" si="226"/>
        <v>1.4846717512772643</v>
      </c>
      <c r="DQ35" s="2">
        <f t="shared" si="74"/>
        <v>15580.199999999995</v>
      </c>
      <c r="DR35" s="2">
        <f t="shared" si="227"/>
        <v>7.167571363325453</v>
      </c>
      <c r="DS35" s="2">
        <f t="shared" si="228"/>
        <v>1900.556993657533</v>
      </c>
      <c r="DT35" s="2">
        <f t="shared" si="229"/>
        <v>1624.7103407568657</v>
      </c>
      <c r="DU35" s="2">
        <f t="shared" si="230"/>
        <v>1808.7103407568657</v>
      </c>
      <c r="DV35" s="9">
        <f t="shared" ca="1" si="231"/>
        <v>1.4946131882595239</v>
      </c>
      <c r="DW35" s="2">
        <f t="shared" ca="1" si="80"/>
        <v>2.5255969364143191</v>
      </c>
      <c r="DX35" s="2">
        <f t="shared" si="232"/>
        <v>4650.3599999999997</v>
      </c>
      <c r="DY35" s="2">
        <f t="shared" ca="1" si="233"/>
        <v>1841.2914321167507</v>
      </c>
      <c r="DZ35" s="2">
        <f t="shared" ca="1" si="234"/>
        <v>2.3590142219830295</v>
      </c>
      <c r="EA35" s="2"/>
      <c r="EB35" s="2">
        <f t="shared" si="83"/>
        <v>0.77330226364846877</v>
      </c>
      <c r="EC35" s="2">
        <f t="shared" si="84"/>
        <v>2.3779724655819774E-3</v>
      </c>
      <c r="ED35" s="2">
        <f t="shared" si="85"/>
        <v>3.5111808552373482E-2</v>
      </c>
      <c r="EE35" s="2">
        <f t="shared" si="86"/>
        <v>0.14307585247042451</v>
      </c>
      <c r="EF35" s="2">
        <f t="shared" si="87"/>
        <v>2.9602480969833662E-3</v>
      </c>
      <c r="EG35" s="2">
        <f t="shared" si="88"/>
        <v>0.81811414392059556</v>
      </c>
      <c r="EH35" s="2">
        <f t="shared" si="89"/>
        <v>9.0941512125534946E-2</v>
      </c>
      <c r="EI35" s="2">
        <f t="shared" si="90"/>
        <v>7.9057760567925132E-3</v>
      </c>
      <c r="EJ35" s="2">
        <f t="shared" si="91"/>
        <v>1.9108280254777068E-3</v>
      </c>
      <c r="EK35" s="2">
        <f t="shared" si="92"/>
        <v>2.829133495624712E-3</v>
      </c>
      <c r="EL35" s="2">
        <f t="shared" si="93"/>
        <v>7.0452303790333949E-5</v>
      </c>
      <c r="EM35" s="2">
        <f t="shared" si="235"/>
        <v>1.8785999911616482</v>
      </c>
      <c r="EN35" s="2">
        <f t="shared" si="236"/>
        <v>0.4116375318251177</v>
      </c>
      <c r="EO35" s="2">
        <f t="shared" si="237"/>
        <v>1.2658216101191068E-3</v>
      </c>
      <c r="EP35" s="2">
        <f t="shared" si="238"/>
        <v>1.8690412390911276E-2</v>
      </c>
      <c r="EQ35" s="2">
        <f t="shared" si="239"/>
        <v>7.6160892762462087E-2</v>
      </c>
      <c r="ER35" s="2">
        <f t="shared" si="240"/>
        <v>1.575773507351542E-3</v>
      </c>
      <c r="ES35" s="2">
        <f t="shared" si="241"/>
        <v>0.43549140198531977</v>
      </c>
      <c r="ET35" s="2">
        <f t="shared" si="242"/>
        <v>4.8409194375275438E-2</v>
      </c>
      <c r="EU35" s="2">
        <f t="shared" si="243"/>
        <v>4.2083339156751033E-3</v>
      </c>
      <c r="EV35" s="2">
        <f t="shared" si="244"/>
        <v>1.0171553467836067E-3</v>
      </c>
      <c r="EW35" s="2">
        <f t="shared" si="245"/>
        <v>1.5059797236958855E-3</v>
      </c>
      <c r="EX35" s="2">
        <f t="shared" si="246"/>
        <v>3.7502557288296999E-5</v>
      </c>
      <c r="EY35" s="2">
        <f t="shared" si="247"/>
        <v>0.99999999999999989</v>
      </c>
      <c r="EZ35" s="2">
        <f t="shared" si="97"/>
        <v>3.6452759970272523E-2</v>
      </c>
      <c r="FA35" s="2">
        <f t="shared" si="98"/>
        <v>0.43910483952027957</v>
      </c>
      <c r="FB35" s="2">
        <f t="shared" si="99"/>
        <v>1.4173610097722291</v>
      </c>
      <c r="FC35" s="2">
        <f t="shared" si="248"/>
        <v>1.07830266146334</v>
      </c>
      <c r="FD35" s="2">
        <f t="shared" si="249"/>
        <v>2.4556838468038333</v>
      </c>
      <c r="FE35" s="2">
        <f t="shared" ca="1" si="102"/>
        <v>0.12216863898138962</v>
      </c>
      <c r="FF35" s="2">
        <f t="shared" ca="1" si="103"/>
        <v>0.12216863898138962</v>
      </c>
      <c r="FG35" s="2">
        <f t="shared" ca="1" si="104"/>
        <v>0.24038530090631233</v>
      </c>
      <c r="FH35" s="2">
        <f t="shared" ca="1" si="105"/>
        <v>-0.70988005255655429</v>
      </c>
      <c r="FI35" s="2">
        <f t="shared" ca="1" si="106"/>
        <v>7.4774522769508129E-3</v>
      </c>
      <c r="FJ35" s="2">
        <f t="shared" ca="1" si="107"/>
        <v>6.1205988208560463E-2</v>
      </c>
      <c r="FK35" s="2">
        <f t="shared" ca="1" si="108"/>
        <v>0.14054465353284676</v>
      </c>
      <c r="FL35" s="2">
        <f t="shared" ca="1" si="109"/>
        <v>5.0313165813114652E-2</v>
      </c>
      <c r="FM35" s="2">
        <f t="shared" ca="1" si="250"/>
        <v>0.35798704930000014</v>
      </c>
      <c r="FN35" s="2">
        <f t="shared" ca="1" si="251"/>
        <v>5.0313165813114659E-2</v>
      </c>
      <c r="FO35" s="2">
        <f t="shared" ca="1" si="110"/>
        <v>5.0313165813114624E-2</v>
      </c>
      <c r="FP35" s="2">
        <f t="shared" ca="1" si="252"/>
        <v>1.9041939729010937</v>
      </c>
      <c r="FQ35" s="2">
        <f t="shared" ca="1" si="253"/>
        <v>9.5806027098906288E-2</v>
      </c>
      <c r="FR35" s="2">
        <f t="shared" si="148"/>
        <v>0.33333333333333331</v>
      </c>
      <c r="FS35" s="2">
        <f t="shared" ca="1" si="254"/>
        <v>3.1935342366302098E-2</v>
      </c>
      <c r="FT35" s="2">
        <f t="shared" ca="1" si="255"/>
        <v>0.63473132430036461</v>
      </c>
      <c r="FU35" s="2">
        <f t="shared" si="256"/>
        <v>20.026666666666664</v>
      </c>
      <c r="FV35" s="2">
        <f t="shared" ca="1" si="257"/>
        <v>2.2945543490188056</v>
      </c>
      <c r="FW35" s="2">
        <f t="shared" ca="1" si="258"/>
        <v>25.579672369304692</v>
      </c>
      <c r="FX35" s="2">
        <f t="shared" ca="1" si="259"/>
        <v>47.900893384990162</v>
      </c>
      <c r="FY35" s="2">
        <f t="shared" ca="1" si="260"/>
        <v>41.808545209601576</v>
      </c>
      <c r="FZ35" s="2">
        <f t="shared" ca="1" si="261"/>
        <v>4.7902120124920433</v>
      </c>
      <c r="GA35" s="2">
        <f t="shared" ca="1" si="262"/>
        <v>53.401242777906383</v>
      </c>
      <c r="GB35" s="2">
        <f t="shared" ca="1" si="263"/>
        <v>95.209698645054701</v>
      </c>
      <c r="GC35" s="2">
        <f t="shared" si="120"/>
        <v>4000000000</v>
      </c>
      <c r="GD35" s="2">
        <f t="shared" si="149"/>
        <v>38</v>
      </c>
      <c r="GE35">
        <f t="shared" si="150"/>
        <v>1570.0092115999998</v>
      </c>
      <c r="GF35">
        <f t="shared" si="151"/>
        <v>1569.9359999999999</v>
      </c>
      <c r="GG35">
        <f t="shared" si="152"/>
        <v>1874.2760000000003</v>
      </c>
      <c r="GH35" s="2">
        <f t="shared" si="153"/>
        <v>0.7843043884563663</v>
      </c>
      <c r="GI35" s="2">
        <f t="shared" si="154"/>
        <v>0.98699999999999988</v>
      </c>
      <c r="GJ35" s="2">
        <f t="shared" si="155"/>
        <v>-1.1860000000000004</v>
      </c>
      <c r="GK35" s="2">
        <f t="shared" si="156"/>
        <v>1.2039999999999997</v>
      </c>
      <c r="GL35" s="2">
        <f t="shared" si="157"/>
        <v>-0.7843043884563663</v>
      </c>
      <c r="GM35">
        <f t="shared" si="158"/>
        <v>0.32834994462901457</v>
      </c>
      <c r="GN35">
        <f t="shared" si="159"/>
        <v>3.5400617873621851E-2</v>
      </c>
      <c r="GO35">
        <f t="shared" si="160"/>
        <v>-0.13458529707177633</v>
      </c>
      <c r="GP35">
        <f t="shared" si="161"/>
        <v>-0.32570780251510234</v>
      </c>
      <c r="GQ35">
        <f t="shared" si="162"/>
        <v>0.27325581395348841</v>
      </c>
      <c r="GR35">
        <f t="shared" si="163"/>
        <v>0.10781368613787694</v>
      </c>
      <c r="GS35">
        <f t="shared" si="164"/>
        <v>0.22652312331694785</v>
      </c>
      <c r="GT35">
        <f t="shared" si="165"/>
        <v>4.5283326368835289E-3</v>
      </c>
      <c r="GU35">
        <f t="shared" si="166"/>
        <v>0.7735242118875989</v>
      </c>
      <c r="GV35">
        <f t="shared" si="167"/>
        <v>-0.21388099463866797</v>
      </c>
      <c r="GW35">
        <f t="shared" si="168"/>
        <v>0.88799316187794552</v>
      </c>
      <c r="GX35" s="2"/>
      <c r="GY35" s="15">
        <f t="shared" si="169"/>
        <v>0.24535366449492449</v>
      </c>
      <c r="GZ35" s="2">
        <f t="shared" si="170"/>
        <v>2.1462213724726269E-2</v>
      </c>
      <c r="HA35" s="2">
        <f t="shared" si="171"/>
        <v>5.9686508330308946E-2</v>
      </c>
      <c r="HB35" s="2">
        <f t="shared" si="172"/>
        <v>0.32650238654995967</v>
      </c>
      <c r="HC35" s="2">
        <f t="shared" si="173"/>
        <v>0.75146055466085171</v>
      </c>
      <c r="HD35" s="2">
        <f t="shared" si="174"/>
        <v>6.573371163228002E-2</v>
      </c>
      <c r="HE35" s="2">
        <f t="shared" si="175"/>
        <v>0.18280573370686842</v>
      </c>
      <c r="HF35" s="2">
        <f t="shared" si="176"/>
        <v>-1.3584052937226112</v>
      </c>
      <c r="HG35" s="2">
        <f t="shared" si="177"/>
        <v>-1.3490974889124778</v>
      </c>
      <c r="HH35" s="2">
        <f t="shared" si="178"/>
        <v>-1.3537513913175445</v>
      </c>
      <c r="HI35" s="2">
        <f t="shared" si="179"/>
        <v>2.2509617030345193</v>
      </c>
      <c r="HJ35" s="2">
        <f t="shared" si="180"/>
        <v>0.20492393512152307</v>
      </c>
      <c r="HK35" s="2">
        <f t="shared" si="181"/>
        <v>0.35830668680795374</v>
      </c>
      <c r="HL35" s="2">
        <f t="shared" si="182"/>
        <v>0.78015564202334631</v>
      </c>
    </row>
    <row r="36" spans="1:220" ht="20.25">
      <c r="A36" s="88" t="s">
        <v>152</v>
      </c>
      <c r="B36" s="77">
        <v>3500</v>
      </c>
      <c r="C36" s="94">
        <f t="shared" si="126"/>
        <v>-2.4343661052978254</v>
      </c>
      <c r="D36" s="59">
        <f t="shared" si="183"/>
        <v>-2.0413607660230069</v>
      </c>
      <c r="E36" s="60">
        <f t="shared" si="184"/>
        <v>-2.4343661052978254</v>
      </c>
      <c r="F36" s="83">
        <v>47.588395715895587</v>
      </c>
      <c r="G36" s="83">
        <v>0.23749999999999999</v>
      </c>
      <c r="H36" s="83">
        <v>4.4749999999999996</v>
      </c>
      <c r="I36" s="83">
        <v>11.83624707781021</v>
      </c>
      <c r="J36" s="83">
        <v>0.26250000000000001</v>
      </c>
      <c r="K36" s="83">
        <v>27.71285720629421</v>
      </c>
      <c r="L36" s="83">
        <v>6.375</v>
      </c>
      <c r="M36" s="83">
        <v>0.61250000000000004</v>
      </c>
      <c r="N36" s="83">
        <v>0.22499999999999998</v>
      </c>
      <c r="O36" s="83">
        <v>0.53749999999999998</v>
      </c>
      <c r="P36" s="83">
        <v>1.2500000000000001E-2</v>
      </c>
      <c r="Q36" s="84"/>
      <c r="R36" s="3">
        <f t="shared" si="185"/>
        <v>99.875</v>
      </c>
      <c r="S36" s="135">
        <v>4</v>
      </c>
      <c r="T36" s="288">
        <f t="shared" si="186"/>
        <v>0.36071637882098895</v>
      </c>
      <c r="U36" s="54">
        <f t="shared" si="187"/>
        <v>1739.2419567214388</v>
      </c>
      <c r="V36" s="54">
        <f t="shared" ca="1" si="188"/>
        <v>1735.7701796122831</v>
      </c>
      <c r="W36" s="54">
        <f t="shared" si="5"/>
        <v>1739.2419567214388</v>
      </c>
      <c r="X36" s="101">
        <f t="shared" ca="1" si="6"/>
        <v>2039.8918335067549</v>
      </c>
      <c r="Y36" s="101">
        <f t="shared" ca="1" si="7"/>
        <v>1913.7498339189046</v>
      </c>
      <c r="Z36" s="50">
        <f t="shared" ca="1" si="8"/>
        <v>2030.9627453239652</v>
      </c>
      <c r="AA36" s="50">
        <f t="shared" ca="1" si="9"/>
        <v>1983.5939130179042</v>
      </c>
      <c r="AB36" s="103">
        <f t="shared" ca="1" si="128"/>
        <v>84.846171510648404</v>
      </c>
      <c r="AC36" s="283">
        <v>13.3</v>
      </c>
      <c r="AD36" s="283">
        <f t="shared" ca="1" si="10"/>
        <v>13.478687954830606</v>
      </c>
      <c r="AE36" s="3">
        <f t="shared" ca="1" si="11"/>
        <v>125.58103178928096</v>
      </c>
      <c r="AF36" s="3">
        <f t="shared" ca="1" si="12"/>
        <v>215.03495411642353</v>
      </c>
      <c r="AG36" s="3">
        <f t="shared" ca="1" si="13"/>
        <v>584.00287667320015</v>
      </c>
      <c r="AH36" s="3">
        <f t="shared" ca="1" si="14"/>
        <v>301.73848522494359</v>
      </c>
      <c r="AI36" s="85">
        <f t="shared" si="189"/>
        <v>0.52632628498832446</v>
      </c>
      <c r="AJ36" s="85">
        <f t="shared" ca="1" si="15"/>
        <v>4.1129269012003986</v>
      </c>
      <c r="AK36" s="85">
        <f t="shared" si="16"/>
        <v>0.30992103833574275</v>
      </c>
      <c r="AL36" s="86">
        <f t="shared" ca="1" si="130"/>
        <v>0.28690525994729316</v>
      </c>
      <c r="AM36" s="85">
        <f t="shared" si="17"/>
        <v>0.36071637882098895</v>
      </c>
      <c r="AN36" s="85">
        <f t="shared" ca="1" si="190"/>
        <v>0.36071637882098928</v>
      </c>
      <c r="AO36" s="123">
        <f t="shared" ca="1" si="191"/>
        <v>41.509489816523249</v>
      </c>
      <c r="AP36" s="123">
        <f t="shared" ca="1" si="192"/>
        <v>6.3849211522180171</v>
      </c>
      <c r="AQ36" s="123">
        <f t="shared" ca="1" si="193"/>
        <v>52.105589031258731</v>
      </c>
      <c r="AR36" s="2"/>
      <c r="AS36" s="53">
        <f t="shared" ca="1" si="132"/>
        <v>83.995575875100386</v>
      </c>
      <c r="AT36" s="53">
        <f t="shared" ca="1" si="194"/>
        <v>93.568958697846611</v>
      </c>
      <c r="AU36" s="63">
        <f t="shared" ca="1" si="22"/>
        <v>0.36071637882098928</v>
      </c>
      <c r="AV36" s="53">
        <f t="shared" si="195"/>
        <v>1.6950571697749834</v>
      </c>
      <c r="AW36" s="53">
        <f t="shared" ca="1" si="196"/>
        <v>1.7093777811546242</v>
      </c>
      <c r="AX36" s="54">
        <f t="shared" si="197"/>
        <v>1821.0068753722458</v>
      </c>
      <c r="AY36" s="54">
        <f t="shared" si="198"/>
        <v>1739.2419567214388</v>
      </c>
      <c r="AZ36" s="54">
        <f t="shared" ca="1" si="26"/>
        <v>1735.7701796122831</v>
      </c>
      <c r="BA36" s="34"/>
      <c r="BB36" s="63">
        <f t="shared" ca="1" si="27"/>
        <v>0.51667294336598313</v>
      </c>
      <c r="BC36" s="63">
        <f t="shared" ca="1" si="28"/>
        <v>7.2395569687352043E-2</v>
      </c>
      <c r="BD36" s="53">
        <f t="shared" si="29"/>
        <v>0.4405685344803566</v>
      </c>
      <c r="BE36" s="53">
        <f t="shared" ca="1" si="30"/>
        <v>0.52991495461140725</v>
      </c>
      <c r="BF36" s="53">
        <f t="shared" ca="1" si="31"/>
        <v>0.34284391859205343</v>
      </c>
      <c r="BH36" s="53">
        <f t="shared" si="32"/>
        <v>0.47084948168340196</v>
      </c>
      <c r="BI36" s="53">
        <f t="shared" si="33"/>
        <v>0.503430932120559</v>
      </c>
      <c r="BK36" s="53">
        <f t="shared" si="134"/>
        <v>0.72952376238492977</v>
      </c>
      <c r="BL36" s="53">
        <f t="shared" si="135"/>
        <v>0.58877006634928863</v>
      </c>
      <c r="BM36" s="53">
        <f t="shared" si="136"/>
        <v>0.70548930755877881</v>
      </c>
      <c r="BN36" s="53">
        <f t="shared" si="137"/>
        <v>1.175335357384794</v>
      </c>
      <c r="BO36" s="53">
        <f t="shared" si="138"/>
        <v>0.719879701898538</v>
      </c>
      <c r="BP36" s="53">
        <f t="shared" si="139"/>
        <v>0.62172124668785278</v>
      </c>
      <c r="BQ36" s="54">
        <f t="shared" si="140"/>
        <v>1573.3133231077461</v>
      </c>
      <c r="BR36" s="262">
        <f t="shared" si="141"/>
        <v>12.9298994900757</v>
      </c>
      <c r="BS36" s="54">
        <f t="shared" si="142"/>
        <v>1995.464802156434</v>
      </c>
      <c r="BU36" s="2">
        <f t="shared" si="37"/>
        <v>0.79208381684246987</v>
      </c>
      <c r="BV36" s="2">
        <f t="shared" si="38"/>
        <v>2.9724655819774715E-3</v>
      </c>
      <c r="BW36" s="2">
        <f t="shared" si="39"/>
        <v>8.77795213809337E-2</v>
      </c>
      <c r="BX36" s="2">
        <f t="shared" si="40"/>
        <v>0.16473551952415047</v>
      </c>
      <c r="BY36" s="2">
        <f t="shared" si="41"/>
        <v>3.7003101212292082E-3</v>
      </c>
      <c r="BZ36" s="2">
        <f t="shared" si="42"/>
        <v>0.68766395052839235</v>
      </c>
      <c r="CA36" s="2">
        <f t="shared" si="43"/>
        <v>0.11367689015691869</v>
      </c>
      <c r="CB36" s="2">
        <f t="shared" si="44"/>
        <v>1.9764440141981286E-2</v>
      </c>
      <c r="CC36" s="2">
        <f t="shared" si="45"/>
        <v>4.7770700636942673E-3</v>
      </c>
      <c r="CD36" s="2">
        <f t="shared" si="46"/>
        <v>7.0728337390617794E-3</v>
      </c>
      <c r="CE36" s="2">
        <f t="shared" si="47"/>
        <v>1.7613075947583488E-4</v>
      </c>
      <c r="CF36" s="2">
        <f t="shared" si="199"/>
        <v>1.8844029488402849</v>
      </c>
      <c r="CG36" s="2">
        <f t="shared" si="200"/>
        <v>0.42033675299114809</v>
      </c>
      <c r="CH36" s="2">
        <f t="shared" si="201"/>
        <v>1.5774044419781933E-3</v>
      </c>
      <c r="CI36" s="2">
        <f t="shared" si="202"/>
        <v>4.65821396824685E-2</v>
      </c>
      <c r="CJ36" s="2">
        <f t="shared" si="203"/>
        <v>8.7420537961656969E-2</v>
      </c>
      <c r="CK36" s="2">
        <f t="shared" si="204"/>
        <v>1.96365120501774E-3</v>
      </c>
      <c r="CL36" s="2">
        <f t="shared" si="205"/>
        <v>0.36492404713737064</v>
      </c>
      <c r="CM36" s="2">
        <f t="shared" si="206"/>
        <v>6.0325149791810015E-2</v>
      </c>
      <c r="CN36" s="2">
        <f t="shared" si="207"/>
        <v>1.0488436220153913E-2</v>
      </c>
      <c r="CO36" s="2">
        <f t="shared" si="208"/>
        <v>2.53505762482181E-3</v>
      </c>
      <c r="CP36" s="2">
        <f t="shared" si="209"/>
        <v>3.7533552701212881E-3</v>
      </c>
      <c r="CQ36" s="2">
        <f t="shared" si="210"/>
        <v>9.3467673452873103E-5</v>
      </c>
      <c r="CR36" s="2"/>
      <c r="CS36" s="2">
        <f t="shared" ca="1" si="52"/>
        <v>0.69090362544146555</v>
      </c>
      <c r="CT36" s="2">
        <f t="shared" ca="1" si="53"/>
        <v>8.8864595020431703E-2</v>
      </c>
      <c r="CU36" s="2">
        <f t="shared" ca="1" si="54"/>
        <v>1.2929426558624997</v>
      </c>
      <c r="CV36" s="2">
        <f t="shared" ca="1" si="211"/>
        <v>2.0727108763243969</v>
      </c>
      <c r="CW36" s="2">
        <f t="shared" ca="1" si="212"/>
        <v>0.33333333333333331</v>
      </c>
      <c r="CX36" s="2">
        <f t="shared" ca="1" si="213"/>
        <v>4.2873608681022642E-2</v>
      </c>
      <c r="CY36" s="2">
        <f t="shared" ca="1" si="214"/>
        <v>0.62379305798564411</v>
      </c>
      <c r="CZ36" s="2">
        <f t="shared" si="215"/>
        <v>0.51463338609585541</v>
      </c>
      <c r="DA36" s="2">
        <f t="shared" si="216"/>
        <v>0.42033675299114809</v>
      </c>
      <c r="DB36" s="2">
        <f t="shared" si="217"/>
        <v>-0.17800755982282515</v>
      </c>
      <c r="DC36" s="2"/>
      <c r="DD36" s="2">
        <f t="shared" si="218"/>
        <v>1821.0068753722458</v>
      </c>
      <c r="DE36" s="2">
        <f t="shared" si="219"/>
        <v>15580.148778023671</v>
      </c>
      <c r="DF36" s="2">
        <f t="shared" si="64"/>
        <v>7.4398193188149913</v>
      </c>
      <c r="DG36" s="2">
        <f t="shared" si="220"/>
        <v>1828.3919567214389</v>
      </c>
      <c r="DH36" s="2">
        <f t="shared" si="221"/>
        <v>1555.2419567214388</v>
      </c>
      <c r="DI36" s="2">
        <f t="shared" si="143"/>
        <v>13602.905801982104</v>
      </c>
      <c r="DJ36" s="2">
        <f t="shared" si="67"/>
        <v>7.4398193188149913</v>
      </c>
      <c r="DK36" s="2">
        <f t="shared" si="222"/>
        <v>1828.3919567214389</v>
      </c>
      <c r="DL36" s="2">
        <f t="shared" si="69"/>
        <v>4</v>
      </c>
      <c r="DM36" s="2">
        <f t="shared" si="223"/>
        <v>-0.17800755982282515</v>
      </c>
      <c r="DN36" s="2">
        <f t="shared" si="224"/>
        <v>0.51463338609585541</v>
      </c>
      <c r="DO36" s="2">
        <f t="shared" si="225"/>
        <v>0.42033675299114809</v>
      </c>
      <c r="DP36" s="2">
        <f t="shared" si="226"/>
        <v>1.6950571697749834</v>
      </c>
      <c r="DQ36" s="2">
        <f t="shared" si="74"/>
        <v>15580.199999999995</v>
      </c>
      <c r="DR36" s="2">
        <f t="shared" si="227"/>
        <v>7.4395960916428558</v>
      </c>
      <c r="DS36" s="2">
        <f t="shared" si="228"/>
        <v>1821.0765961860143</v>
      </c>
      <c r="DT36" s="2">
        <f t="shared" si="229"/>
        <v>1555.3161240253016</v>
      </c>
      <c r="DU36" s="2">
        <f t="shared" si="230"/>
        <v>1739.3161240253016</v>
      </c>
      <c r="DV36" s="9">
        <f t="shared" ca="1" si="231"/>
        <v>1.7093777811546242</v>
      </c>
      <c r="DW36" s="2">
        <f t="shared" ca="1" si="80"/>
        <v>2.6512913086277625</v>
      </c>
      <c r="DX36" s="2">
        <f t="shared" si="232"/>
        <v>4650.3599999999997</v>
      </c>
      <c r="DY36" s="2">
        <f t="shared" ca="1" si="233"/>
        <v>1753.9981309737336</v>
      </c>
      <c r="DZ36" s="2">
        <f t="shared" ca="1" si="234"/>
        <v>2.6365703999871961</v>
      </c>
      <c r="EA36" s="2"/>
      <c r="EB36" s="2">
        <f t="shared" si="83"/>
        <v>0.79208381684246987</v>
      </c>
      <c r="EC36" s="2">
        <f t="shared" si="84"/>
        <v>2.9724655819774715E-3</v>
      </c>
      <c r="ED36" s="2">
        <f t="shared" si="85"/>
        <v>4.388976069046685E-2</v>
      </c>
      <c r="EE36" s="2">
        <f t="shared" si="86"/>
        <v>0.16473551952415047</v>
      </c>
      <c r="EF36" s="2">
        <f t="shared" si="87"/>
        <v>3.7003101212292082E-3</v>
      </c>
      <c r="EG36" s="2">
        <f t="shared" si="88"/>
        <v>0.68766395052839235</v>
      </c>
      <c r="EH36" s="2">
        <f t="shared" si="89"/>
        <v>0.11367689015691869</v>
      </c>
      <c r="EI36" s="2">
        <f t="shared" si="90"/>
        <v>9.8822200709906428E-3</v>
      </c>
      <c r="EJ36" s="2">
        <f t="shared" si="91"/>
        <v>2.3885350318471337E-3</v>
      </c>
      <c r="EK36" s="2">
        <f t="shared" si="92"/>
        <v>3.5364168695308897E-3</v>
      </c>
      <c r="EL36" s="2">
        <f t="shared" si="93"/>
        <v>8.8065379737917439E-5</v>
      </c>
      <c r="EM36" s="2">
        <f t="shared" si="235"/>
        <v>1.8246179507977116</v>
      </c>
      <c r="EN36" s="2">
        <f t="shared" si="236"/>
        <v>0.434109407120639</v>
      </c>
      <c r="EO36" s="2">
        <f t="shared" si="237"/>
        <v>1.6290893009563608E-3</v>
      </c>
      <c r="EP36" s="2">
        <f t="shared" si="238"/>
        <v>2.4054219499089396E-2</v>
      </c>
      <c r="EQ36" s="2">
        <f t="shared" si="239"/>
        <v>9.0284938527612935E-2</v>
      </c>
      <c r="ER36" s="2">
        <f t="shared" si="240"/>
        <v>2.027991733618238E-3</v>
      </c>
      <c r="ES36" s="2">
        <f t="shared" si="241"/>
        <v>0.37688106171911218</v>
      </c>
      <c r="ET36" s="2">
        <f t="shared" si="242"/>
        <v>6.230174930988696E-2</v>
      </c>
      <c r="EU36" s="2">
        <f t="shared" si="243"/>
        <v>5.4160489140590764E-3</v>
      </c>
      <c r="EV36" s="2">
        <f t="shared" si="244"/>
        <v>1.3090603601717723E-3</v>
      </c>
      <c r="EW36" s="2">
        <f t="shared" si="245"/>
        <v>1.938168408342574E-3</v>
      </c>
      <c r="EX36" s="2">
        <f t="shared" si="246"/>
        <v>4.8265106511429315E-5</v>
      </c>
      <c r="EY36" s="2">
        <f t="shared" si="247"/>
        <v>1</v>
      </c>
      <c r="EZ36" s="2">
        <f t="shared" si="97"/>
        <v>4.65821396824685E-2</v>
      </c>
      <c r="FA36" s="2">
        <f t="shared" si="98"/>
        <v>0.46849629711559476</v>
      </c>
      <c r="FB36" s="2">
        <f t="shared" si="99"/>
        <v>1.4407103594971129</v>
      </c>
      <c r="FC36" s="2">
        <f t="shared" si="248"/>
        <v>1.0074355305318468</v>
      </c>
      <c r="FD36" s="2">
        <f t="shared" si="249"/>
        <v>2.1503596436820427</v>
      </c>
      <c r="FE36" s="2">
        <f t="shared" ca="1" si="102"/>
        <v>0.12863326187755478</v>
      </c>
      <c r="FF36" s="2">
        <f t="shared" ca="1" si="103"/>
        <v>0.12863326187755478</v>
      </c>
      <c r="FG36" s="2">
        <f t="shared" ca="1" si="104"/>
        <v>0.22407232869149332</v>
      </c>
      <c r="FH36" s="2">
        <f t="shared" ca="1" si="105"/>
        <v>-1.3047195284750976</v>
      </c>
      <c r="FI36" s="2">
        <f t="shared" ca="1" si="106"/>
        <v>9.2372189363116117E-3</v>
      </c>
      <c r="FJ36" s="2">
        <f t="shared" ca="1" si="107"/>
        <v>7.1810500654989715E-2</v>
      </c>
      <c r="FK36" s="2">
        <f t="shared" ca="1" si="108"/>
        <v>0.19053889396148477</v>
      </c>
      <c r="FL36" s="2">
        <f t="shared" ca="1" si="109"/>
        <v>6.8730499854343249E-2</v>
      </c>
      <c r="FM36" s="2">
        <f t="shared" ca="1" si="250"/>
        <v>0.36071637882098928</v>
      </c>
      <c r="FN36" s="2">
        <f t="shared" ca="1" si="251"/>
        <v>6.8730499854343249E-2</v>
      </c>
      <c r="FO36" s="2">
        <f t="shared" ca="1" si="110"/>
        <v>6.873049985434318E-2</v>
      </c>
      <c r="FP36" s="2">
        <f t="shared" ca="1" si="252"/>
        <v>1.8713791739569321</v>
      </c>
      <c r="FQ36" s="2">
        <f t="shared" ca="1" si="253"/>
        <v>0.1286208260430679</v>
      </c>
      <c r="FR36" s="2">
        <f t="shared" si="148"/>
        <v>0.33333333333333331</v>
      </c>
      <c r="FS36" s="2">
        <f t="shared" ca="1" si="254"/>
        <v>4.2873608681022635E-2</v>
      </c>
      <c r="FT36" s="2">
        <f t="shared" ca="1" si="255"/>
        <v>0.62379305798564399</v>
      </c>
      <c r="FU36" s="2">
        <f t="shared" si="256"/>
        <v>20.026666666666664</v>
      </c>
      <c r="FV36" s="2">
        <f t="shared" ca="1" si="257"/>
        <v>3.0804687837314759</v>
      </c>
      <c r="FW36" s="2">
        <f t="shared" ca="1" si="258"/>
        <v>25.138860236821451</v>
      </c>
      <c r="FX36" s="2">
        <f t="shared" ca="1" si="259"/>
        <v>48.24599568721959</v>
      </c>
      <c r="FY36" s="2">
        <f t="shared" ca="1" si="260"/>
        <v>41.509489816523249</v>
      </c>
      <c r="FZ36" s="2">
        <f t="shared" ca="1" si="261"/>
        <v>6.3849211522180171</v>
      </c>
      <c r="GA36" s="2">
        <f t="shared" ca="1" si="262"/>
        <v>52.105589031258731</v>
      </c>
      <c r="GB36" s="2">
        <f t="shared" ca="1" si="263"/>
        <v>93.568958697846611</v>
      </c>
      <c r="GC36" s="2">
        <f t="shared" si="120"/>
        <v>4000000000</v>
      </c>
      <c r="GD36" s="2">
        <f t="shared" si="149"/>
        <v>38</v>
      </c>
      <c r="GE36">
        <f t="shared" si="150"/>
        <v>1570.0092115999998</v>
      </c>
      <c r="GF36">
        <f t="shared" si="151"/>
        <v>1569.9359999999999</v>
      </c>
      <c r="GG36">
        <f t="shared" si="152"/>
        <v>1874.2760000000003</v>
      </c>
      <c r="GH36" s="2">
        <f t="shared" si="153"/>
        <v>0.55630530564972946</v>
      </c>
      <c r="GI36" s="2">
        <f t="shared" si="154"/>
        <v>0.98699999999999988</v>
      </c>
      <c r="GJ36" s="2">
        <f t="shared" si="155"/>
        <v>-1.1860000000000004</v>
      </c>
      <c r="GK36" s="2">
        <f t="shared" si="156"/>
        <v>1.2039999999999997</v>
      </c>
      <c r="GL36" s="2">
        <f t="shared" si="157"/>
        <v>-0.55630530564972946</v>
      </c>
      <c r="GM36">
        <f t="shared" si="158"/>
        <v>0.32834994462901457</v>
      </c>
      <c r="GN36">
        <f t="shared" si="159"/>
        <v>3.5400617873621851E-2</v>
      </c>
      <c r="GO36">
        <f t="shared" si="160"/>
        <v>-0.13458529707177633</v>
      </c>
      <c r="GP36">
        <f t="shared" si="161"/>
        <v>-0.23102379802729633</v>
      </c>
      <c r="GQ36">
        <f t="shared" si="162"/>
        <v>0.27325581395348841</v>
      </c>
      <c r="GR36">
        <f t="shared" si="163"/>
        <v>0.10781368613787694</v>
      </c>
      <c r="GS36">
        <f t="shared" si="164"/>
        <v>0.13183911882914184</v>
      </c>
      <c r="GT36">
        <f t="shared" si="165"/>
        <v>4.5283326368835289E-3</v>
      </c>
      <c r="GU36">
        <f t="shared" si="166"/>
        <v>0.65410343099024582</v>
      </c>
      <c r="GV36">
        <f t="shared" si="167"/>
        <v>-0.25292961323433055</v>
      </c>
      <c r="GW36">
        <f t="shared" si="168"/>
        <v>0.72952376238492977</v>
      </c>
      <c r="GX36" s="2"/>
      <c r="GY36" s="15">
        <f t="shared" si="169"/>
        <v>0.22010510586386448</v>
      </c>
      <c r="GZ36" s="2">
        <f t="shared" si="170"/>
        <v>2.7621477208388333E-2</v>
      </c>
      <c r="HA36" s="2">
        <f t="shared" si="171"/>
        <v>7.6815446469743684E-2</v>
      </c>
      <c r="HB36" s="2">
        <f t="shared" si="172"/>
        <v>0.32454202954199651</v>
      </c>
      <c r="HC36" s="2">
        <f t="shared" si="173"/>
        <v>0.67820216128704014</v>
      </c>
      <c r="HD36" s="2">
        <f t="shared" si="174"/>
        <v>8.5109091255048203E-2</v>
      </c>
      <c r="HE36" s="2">
        <f t="shared" si="175"/>
        <v>0.23668874745791155</v>
      </c>
      <c r="HF36" s="2">
        <f t="shared" si="176"/>
        <v>-1.2882270431787481</v>
      </c>
      <c r="HG36" s="2">
        <f t="shared" si="177"/>
        <v>-1.2898794576557395</v>
      </c>
      <c r="HH36" s="2">
        <f t="shared" si="178"/>
        <v>-1.2890532504172438</v>
      </c>
      <c r="HI36" s="2">
        <f t="shared" si="179"/>
        <v>2.6171830246674452</v>
      </c>
      <c r="HJ36" s="2">
        <f t="shared" si="180"/>
        <v>0.15866795143968915</v>
      </c>
      <c r="HK36" s="2">
        <f t="shared" si="181"/>
        <v>0.35416053979779227</v>
      </c>
      <c r="HL36" s="2">
        <f t="shared" si="182"/>
        <v>0.67757963713306979</v>
      </c>
    </row>
    <row r="37" spans="1:220" ht="20.25">
      <c r="A37" s="89" t="s">
        <v>153</v>
      </c>
      <c r="B37" s="77">
        <v>0</v>
      </c>
      <c r="C37" s="94">
        <f t="shared" si="126"/>
        <v>-4.2326904791872773</v>
      </c>
      <c r="D37" s="59">
        <f t="shared" si="183"/>
        <v>-4.3252967943241547</v>
      </c>
      <c r="E37" s="60">
        <f t="shared" si="184"/>
        <v>-4.2326904791872773</v>
      </c>
      <c r="F37" s="83">
        <v>47.985472539955701</v>
      </c>
      <c r="G37" s="83">
        <v>1.5549933062780077</v>
      </c>
      <c r="H37" s="83">
        <v>9.5796009293915958</v>
      </c>
      <c r="I37" s="83">
        <v>12.050851708087523</v>
      </c>
      <c r="J37" s="83">
        <v>0.13835530384678599</v>
      </c>
      <c r="K37" s="83">
        <v>19.645448516708125</v>
      </c>
      <c r="L37" s="83">
        <v>7.4805092864650904</v>
      </c>
      <c r="M37" s="83">
        <v>1.3910723484595333</v>
      </c>
      <c r="N37" s="83">
        <v>0.17369606080764979</v>
      </c>
      <c r="O37" s="83"/>
      <c r="P37" s="83"/>
      <c r="Q37" s="84"/>
      <c r="R37" s="3">
        <f t="shared" si="185"/>
        <v>100</v>
      </c>
      <c r="S37" s="135">
        <v>2</v>
      </c>
      <c r="T37" s="288">
        <f t="shared" si="186"/>
        <v>0.34507487578649471</v>
      </c>
      <c r="U37" s="54">
        <f t="shared" si="187"/>
        <v>1528.7303823490702</v>
      </c>
      <c r="V37" s="54">
        <f t="shared" ca="1" si="188"/>
        <v>1522.0084907313244</v>
      </c>
      <c r="W37" s="54">
        <f t="shared" si="5"/>
        <v>1528.7303823490702</v>
      </c>
      <c r="X37" s="101">
        <f t="shared" ca="1" si="6"/>
        <v>1686.5532461314438</v>
      </c>
      <c r="Y37" s="101">
        <f t="shared" ca="1" si="7"/>
        <v>1563.3843517720718</v>
      </c>
      <c r="Z37" s="50">
        <f t="shared" ca="1" si="8"/>
        <v>1654.9483700877756</v>
      </c>
      <c r="AA37" s="50">
        <f t="shared" ca="1" si="9"/>
        <v>1623.9422646218782</v>
      </c>
      <c r="AB37" s="103">
        <f t="shared" ca="1" si="128"/>
        <v>71.088777401380838</v>
      </c>
      <c r="AC37" s="283">
        <v>13.3</v>
      </c>
      <c r="AD37" s="283">
        <f t="shared" ca="1" si="10"/>
        <v>11.901696725088813</v>
      </c>
      <c r="AE37" s="3">
        <f t="shared" ca="1" si="11"/>
        <v>113.48023459524232</v>
      </c>
      <c r="AF37" s="3">
        <f t="shared" ca="1" si="12"/>
        <v>213.53676173463413</v>
      </c>
      <c r="AG37" s="3">
        <f t="shared" ca="1" si="13"/>
        <v>531.43184186836265</v>
      </c>
      <c r="AH37" s="3">
        <f t="shared" ca="1" si="14"/>
        <v>125.73716734073146</v>
      </c>
      <c r="AI37" s="85">
        <f t="shared" si="189"/>
        <v>0.37807970389816425</v>
      </c>
      <c r="AJ37" s="85">
        <f t="shared" ca="1" si="15"/>
        <v>2.3121323895720902</v>
      </c>
      <c r="AK37" s="85">
        <f t="shared" si="16"/>
        <v>0.27886944527479712</v>
      </c>
      <c r="AL37" s="86">
        <f t="shared" ca="1" si="130"/>
        <v>0.28374909359616202</v>
      </c>
      <c r="AM37" s="85">
        <f t="shared" si="17"/>
        <v>0.34507487578649471</v>
      </c>
      <c r="AN37" s="85">
        <f t="shared" ca="1" si="190"/>
        <v>0.34507487578649476</v>
      </c>
      <c r="AO37" s="123">
        <f t="shared" ca="1" si="191"/>
        <v>41.068455003412772</v>
      </c>
      <c r="AP37" s="123">
        <f t="shared" ca="1" si="192"/>
        <v>8.7367337718299272</v>
      </c>
      <c r="AQ37" s="123">
        <f t="shared" ca="1" si="193"/>
        <v>50.194811224757295</v>
      </c>
      <c r="AR37" s="2"/>
      <c r="AS37" s="53">
        <f t="shared" ca="1" si="132"/>
        <v>77.947517019822257</v>
      </c>
      <c r="AT37" s="53">
        <f t="shared" ca="1" si="194"/>
        <v>91.105656603771351</v>
      </c>
      <c r="AU37" s="63">
        <f t="shared" ca="1" si="22"/>
        <v>0.34507487578649476</v>
      </c>
      <c r="AV37" s="53">
        <f t="shared" si="195"/>
        <v>2.2753771042836499</v>
      </c>
      <c r="AW37" s="53">
        <f t="shared" ca="1" si="196"/>
        <v>2.2989863974833957</v>
      </c>
      <c r="AX37" s="54">
        <f t="shared" si="197"/>
        <v>1552.4152388483822</v>
      </c>
      <c r="AY37" s="54">
        <f t="shared" si="198"/>
        <v>1528.7303823490702</v>
      </c>
      <c r="AZ37" s="54">
        <f t="shared" ca="1" si="26"/>
        <v>1522.0084907313244</v>
      </c>
      <c r="BA37" s="34"/>
      <c r="BB37" s="63">
        <f t="shared" ca="1" si="27"/>
        <v>0.23660074055531838</v>
      </c>
      <c r="BC37" s="63">
        <f t="shared" ca="1" si="28"/>
        <v>7.1991595702744118E-2</v>
      </c>
      <c r="BD37" s="53">
        <f t="shared" si="29"/>
        <v>0.10080952252817352</v>
      </c>
      <c r="BE37" s="53">
        <f t="shared" ca="1" si="30"/>
        <v>0.23050540293201538</v>
      </c>
      <c r="BF37" s="53">
        <f t="shared" ca="1" si="31"/>
        <v>0.28347138573353003</v>
      </c>
      <c r="BH37" s="53">
        <f t="shared" si="32"/>
        <v>0.16440238342096258</v>
      </c>
      <c r="BI37" s="53">
        <f t="shared" si="33"/>
        <v>0.2426960781786214</v>
      </c>
      <c r="BK37" s="53">
        <f t="shared" si="134"/>
        <v>0.45301874265746661</v>
      </c>
      <c r="BL37" s="53">
        <f t="shared" si="135"/>
        <v>-4.9565606399841408E-3</v>
      </c>
      <c r="BM37" s="53" t="e">
        <f t="shared" si="136"/>
        <v>#NUM!</v>
      </c>
      <c r="BN37" s="53">
        <f t="shared" si="137"/>
        <v>0.35631395228562612</v>
      </c>
      <c r="BO37" s="53">
        <f t="shared" si="138"/>
        <v>0.5335282349274072</v>
      </c>
      <c r="BP37" s="53">
        <f t="shared" si="139"/>
        <v>0.53741824956209017</v>
      </c>
      <c r="BQ37" s="54">
        <f t="shared" si="140"/>
        <v>1437.5979602200573</v>
      </c>
      <c r="BR37" s="262">
        <f t="shared" si="141"/>
        <v>4.6105055829220021</v>
      </c>
      <c r="BS37" s="54">
        <f t="shared" si="142"/>
        <v>1645.2807694372323</v>
      </c>
      <c r="BU37" s="2">
        <f t="shared" si="37"/>
        <v>0.79869295173028798</v>
      </c>
      <c r="BV37" s="2">
        <f t="shared" si="38"/>
        <v>1.9461743507859921E-2</v>
      </c>
      <c r="BW37" s="2">
        <f t="shared" si="39"/>
        <v>0.18790900214577475</v>
      </c>
      <c r="BX37" s="2">
        <f t="shared" si="40"/>
        <v>0.16772236197755774</v>
      </c>
      <c r="BY37" s="2">
        <f t="shared" si="41"/>
        <v>1.9503144043809698E-3</v>
      </c>
      <c r="BZ37" s="2">
        <f t="shared" si="42"/>
        <v>0.48748011207712472</v>
      </c>
      <c r="CA37" s="2">
        <f t="shared" si="43"/>
        <v>0.13338996587847879</v>
      </c>
      <c r="CB37" s="2">
        <f t="shared" si="44"/>
        <v>4.4887781492724536E-2</v>
      </c>
      <c r="CC37" s="2">
        <f t="shared" si="45"/>
        <v>3.6878144545148574E-3</v>
      </c>
      <c r="CD37" s="2">
        <f t="shared" si="46"/>
        <v>0</v>
      </c>
      <c r="CE37" s="2">
        <f t="shared" si="47"/>
        <v>0</v>
      </c>
      <c r="CF37" s="2">
        <f t="shared" si="199"/>
        <v>1.8451820476687042</v>
      </c>
      <c r="CG37" s="2">
        <f t="shared" si="200"/>
        <v>0.43285319881547557</v>
      </c>
      <c r="CH37" s="2">
        <f t="shared" si="201"/>
        <v>1.0547329751256178E-2</v>
      </c>
      <c r="CI37" s="2">
        <f t="shared" si="202"/>
        <v>0.10183764923530902</v>
      </c>
      <c r="CJ37" s="2">
        <f t="shared" si="203"/>
        <v>9.089746032889634E-2</v>
      </c>
      <c r="CK37" s="2">
        <f t="shared" si="204"/>
        <v>1.0569766852246882E-3</v>
      </c>
      <c r="CL37" s="2">
        <f t="shared" si="205"/>
        <v>0.26419079499122139</v>
      </c>
      <c r="CM37" s="2">
        <f t="shared" si="206"/>
        <v>7.2290951479291918E-2</v>
      </c>
      <c r="CN37" s="2">
        <f t="shared" si="207"/>
        <v>2.4327020496128293E-2</v>
      </c>
      <c r="CO37" s="2">
        <f t="shared" si="208"/>
        <v>1.9986182171966324E-3</v>
      </c>
      <c r="CP37" s="2">
        <f t="shared" si="209"/>
        <v>0</v>
      </c>
      <c r="CQ37" s="2">
        <f t="shared" si="210"/>
        <v>0</v>
      </c>
      <c r="CR37" s="2"/>
      <c r="CS37" s="2">
        <f t="shared" ca="1" si="52"/>
        <v>0.6835628329462845</v>
      </c>
      <c r="CT37" s="2">
        <f t="shared" ca="1" si="53"/>
        <v>0.12159685138246246</v>
      </c>
      <c r="CU37" s="2">
        <f t="shared" ca="1" si="54"/>
        <v>1.2455288145101067</v>
      </c>
      <c r="CV37" s="2">
        <f t="shared" ca="1" si="211"/>
        <v>2.0506884988388538</v>
      </c>
      <c r="CW37" s="2">
        <f t="shared" ca="1" si="212"/>
        <v>0.33333333333333326</v>
      </c>
      <c r="CX37" s="2">
        <f t="shared" ca="1" si="213"/>
        <v>5.9295622641524222E-2</v>
      </c>
      <c r="CY37" s="2">
        <f t="shared" ca="1" si="214"/>
        <v>0.60737104402514241</v>
      </c>
      <c r="CZ37" s="2">
        <f t="shared" si="215"/>
        <v>0.42843618348463436</v>
      </c>
      <c r="DA37" s="2">
        <f t="shared" si="216"/>
        <v>0.43285319881547557</v>
      </c>
      <c r="DB37" s="2">
        <f t="shared" si="217"/>
        <v>-0.45013895382599189</v>
      </c>
      <c r="DC37" s="2"/>
      <c r="DD37" s="2">
        <f t="shared" si="218"/>
        <v>1552.4152388483822</v>
      </c>
      <c r="DE37" s="2">
        <f t="shared" si="219"/>
        <v>14591.502573847783</v>
      </c>
      <c r="DF37" s="2">
        <f t="shared" si="64"/>
        <v>7.9928683255672155</v>
      </c>
      <c r="DG37" s="2">
        <f t="shared" si="220"/>
        <v>1701.88038234907</v>
      </c>
      <c r="DH37" s="2">
        <f t="shared" si="221"/>
        <v>1428.7303823490702</v>
      </c>
      <c r="DI37" s="2">
        <f t="shared" si="143"/>
        <v>13602.905801982104</v>
      </c>
      <c r="DJ37" s="2">
        <f t="shared" si="67"/>
        <v>7.9928683255672155</v>
      </c>
      <c r="DK37" s="2">
        <f t="shared" si="222"/>
        <v>1701.88038234907</v>
      </c>
      <c r="DL37" s="2">
        <f t="shared" si="69"/>
        <v>2</v>
      </c>
      <c r="DM37" s="2">
        <f t="shared" si="223"/>
        <v>-0.45013895382599189</v>
      </c>
      <c r="DN37" s="2">
        <f t="shared" si="224"/>
        <v>0.42843618348463436</v>
      </c>
      <c r="DO37" s="2">
        <f t="shared" si="225"/>
        <v>0.43285319881547557</v>
      </c>
      <c r="DP37" s="2">
        <f t="shared" si="226"/>
        <v>2.2753771042836499</v>
      </c>
      <c r="DQ37" s="2">
        <f t="shared" si="74"/>
        <v>14591.599999999995</v>
      </c>
      <c r="DR37" s="2">
        <f t="shared" si="227"/>
        <v>7.9926450983950801</v>
      </c>
      <c r="DS37" s="2">
        <f t="shared" si="228"/>
        <v>1552.4784146696297</v>
      </c>
      <c r="DT37" s="2">
        <f t="shared" si="229"/>
        <v>1428.7958843145034</v>
      </c>
      <c r="DU37" s="2">
        <f t="shared" si="230"/>
        <v>1528.7958843145034</v>
      </c>
      <c r="DV37" s="9">
        <f t="shared" ca="1" si="231"/>
        <v>2.2989863974833957</v>
      </c>
      <c r="DW37" s="2">
        <f t="shared" ca="1" si="80"/>
        <v>2.9104304249193875</v>
      </c>
      <c r="DX37" s="2">
        <f t="shared" si="232"/>
        <v>4540.18</v>
      </c>
      <c r="DY37" s="2">
        <f t="shared" ca="1" si="233"/>
        <v>1559.9685741073001</v>
      </c>
      <c r="DZ37" s="2">
        <f t="shared" ca="1" si="234"/>
        <v>3.4943474534825998</v>
      </c>
      <c r="EA37" s="2"/>
      <c r="EB37" s="2">
        <f t="shared" si="83"/>
        <v>0.79869295173028798</v>
      </c>
      <c r="EC37" s="2">
        <f t="shared" si="84"/>
        <v>1.9461743507859921E-2</v>
      </c>
      <c r="ED37" s="2">
        <f t="shared" si="85"/>
        <v>9.3954501072887373E-2</v>
      </c>
      <c r="EE37" s="2">
        <f t="shared" si="86"/>
        <v>0.16772236197755774</v>
      </c>
      <c r="EF37" s="2">
        <f t="shared" si="87"/>
        <v>1.9503144043809698E-3</v>
      </c>
      <c r="EG37" s="2">
        <f t="shared" si="88"/>
        <v>0.48748011207712472</v>
      </c>
      <c r="EH37" s="2">
        <f t="shared" si="89"/>
        <v>0.13338996587847879</v>
      </c>
      <c r="EI37" s="2">
        <f t="shared" si="90"/>
        <v>2.2443890746362268E-2</v>
      </c>
      <c r="EJ37" s="2">
        <f t="shared" si="91"/>
        <v>1.8439072272574287E-3</v>
      </c>
      <c r="EK37" s="2">
        <f t="shared" si="92"/>
        <v>0</v>
      </c>
      <c r="EL37" s="2">
        <f t="shared" si="93"/>
        <v>0</v>
      </c>
      <c r="EM37" s="2">
        <f t="shared" si="235"/>
        <v>1.7269397486221971</v>
      </c>
      <c r="EN37" s="2">
        <f t="shared" si="236"/>
        <v>0.46249034013346935</v>
      </c>
      <c r="EO37" s="2">
        <f t="shared" si="237"/>
        <v>1.1269497689995883E-2</v>
      </c>
      <c r="EP37" s="2">
        <f t="shared" si="238"/>
        <v>5.4405199224725129E-2</v>
      </c>
      <c r="EQ37" s="2">
        <f t="shared" si="239"/>
        <v>9.712114282584064E-2</v>
      </c>
      <c r="ER37" s="2">
        <f t="shared" si="240"/>
        <v>1.129347104284899E-3</v>
      </c>
      <c r="ES37" s="2">
        <f t="shared" si="241"/>
        <v>0.28227974511910481</v>
      </c>
      <c r="ET37" s="2">
        <f t="shared" si="242"/>
        <v>7.7240659950586696E-2</v>
      </c>
      <c r="EU37" s="2">
        <f t="shared" si="243"/>
        <v>1.2996336881045595E-2</v>
      </c>
      <c r="EV37" s="2">
        <f t="shared" si="244"/>
        <v>1.067731070947062E-3</v>
      </c>
      <c r="EW37" s="2">
        <f t="shared" si="245"/>
        <v>0</v>
      </c>
      <c r="EX37" s="2">
        <f t="shared" si="246"/>
        <v>0</v>
      </c>
      <c r="EY37" s="2">
        <f t="shared" si="247"/>
        <v>1</v>
      </c>
      <c r="EZ37" s="2">
        <f t="shared" si="97"/>
        <v>0.10183764923530902</v>
      </c>
      <c r="FA37" s="2">
        <f t="shared" si="98"/>
        <v>0.54523817780204076</v>
      </c>
      <c r="FB37" s="2">
        <f t="shared" si="99"/>
        <v>1.4811565338277239</v>
      </c>
      <c r="FC37" s="2">
        <f t="shared" si="248"/>
        <v>0.78136035644728485</v>
      </c>
      <c r="FD37" s="2">
        <f t="shared" si="249"/>
        <v>1.4330624454749257</v>
      </c>
      <c r="FE37" s="2">
        <f t="shared" ca="1" si="102"/>
        <v>0.10806339751275637</v>
      </c>
      <c r="FF37" s="2">
        <f t="shared" ca="1" si="103"/>
        <v>0.10806339751275637</v>
      </c>
      <c r="FG37" s="2">
        <f t="shared" ca="1" si="104"/>
        <v>0.13827215085030589</v>
      </c>
      <c r="FH37" s="2">
        <f t="shared" ca="1" si="105"/>
        <v>-3.5326442562589695</v>
      </c>
      <c r="FI37" s="2">
        <f t="shared" ca="1" si="106"/>
        <v>8.6300546184921671E-3</v>
      </c>
      <c r="FJ37" s="2">
        <f t="shared" ca="1" si="107"/>
        <v>7.9861033588856309E-2</v>
      </c>
      <c r="FK37" s="2">
        <f t="shared" ca="1" si="108"/>
        <v>0.28291450226143511</v>
      </c>
      <c r="FL37" s="2">
        <f t="shared" ca="1" si="109"/>
        <v>9.7626686726062714E-2</v>
      </c>
      <c r="FM37" s="2">
        <f t="shared" ca="1" si="250"/>
        <v>0.34507487578649476</v>
      </c>
      <c r="FN37" s="2">
        <f t="shared" ca="1" si="251"/>
        <v>9.76266867260627E-2</v>
      </c>
      <c r="FO37" s="2">
        <f t="shared" ca="1" si="110"/>
        <v>9.76266867260627E-2</v>
      </c>
      <c r="FP37" s="2">
        <f t="shared" ca="1" si="252"/>
        <v>1.8221131320754274</v>
      </c>
      <c r="FQ37" s="2">
        <f t="shared" ca="1" si="253"/>
        <v>0.17788686792457264</v>
      </c>
      <c r="FR37" s="2">
        <f t="shared" si="148"/>
        <v>0.33333333333333331</v>
      </c>
      <c r="FS37" s="2">
        <f t="shared" ca="1" si="254"/>
        <v>5.9295622641524215E-2</v>
      </c>
      <c r="FT37" s="2">
        <f t="shared" ca="1" si="255"/>
        <v>0.60737104402514241</v>
      </c>
      <c r="FU37" s="2">
        <f t="shared" si="256"/>
        <v>20.026666666666664</v>
      </c>
      <c r="FV37" s="2">
        <f t="shared" ca="1" si="257"/>
        <v>4.2603904867935141</v>
      </c>
      <c r="FW37" s="2">
        <f t="shared" ca="1" si="258"/>
        <v>24.477053074213238</v>
      </c>
      <c r="FX37" s="2">
        <f t="shared" ca="1" si="259"/>
        <v>48.764110227673413</v>
      </c>
      <c r="FY37" s="2">
        <f t="shared" ca="1" si="260"/>
        <v>41.068455003412772</v>
      </c>
      <c r="FZ37" s="2">
        <f t="shared" ca="1" si="261"/>
        <v>8.7367337718299272</v>
      </c>
      <c r="GA37" s="2">
        <f t="shared" ca="1" si="262"/>
        <v>50.194811224757295</v>
      </c>
      <c r="GB37" s="2">
        <f t="shared" ca="1" si="263"/>
        <v>91.105656603771351</v>
      </c>
      <c r="GC37" s="2">
        <f t="shared" si="120"/>
        <v>2000000000</v>
      </c>
      <c r="GD37" s="2">
        <f t="shared" si="149"/>
        <v>38</v>
      </c>
      <c r="GE37">
        <f t="shared" si="150"/>
        <v>1365.8967723999999</v>
      </c>
      <c r="GF37">
        <f t="shared" si="151"/>
        <v>1365.384</v>
      </c>
      <c r="GG37">
        <f t="shared" si="152"/>
        <v>1768.8040000000001</v>
      </c>
      <c r="GH37" s="2">
        <f t="shared" si="153"/>
        <v>0.40490402644655726</v>
      </c>
      <c r="GI37" s="2">
        <f t="shared" si="154"/>
        <v>1.5909999999999997</v>
      </c>
      <c r="GJ37" s="2">
        <f t="shared" si="155"/>
        <v>-2.33</v>
      </c>
      <c r="GK37" s="2">
        <f t="shared" si="156"/>
        <v>1.7459999999999998</v>
      </c>
      <c r="GL37" s="2">
        <f t="shared" si="157"/>
        <v>-0.40490402644655726</v>
      </c>
      <c r="GM37">
        <f t="shared" si="158"/>
        <v>0.44482626956853766</v>
      </c>
      <c r="GN37">
        <f t="shared" si="159"/>
        <v>8.801795638200631E-2</v>
      </c>
      <c r="GO37">
        <f t="shared" si="160"/>
        <v>-0.20266855523583718</v>
      </c>
      <c r="GP37">
        <f t="shared" si="161"/>
        <v>-0.11595189760783428</v>
      </c>
      <c r="GQ37">
        <f t="shared" si="162"/>
        <v>0.30374188621611298</v>
      </c>
      <c r="GR37">
        <f t="shared" si="163"/>
        <v>0.19787041009826134</v>
      </c>
      <c r="GS37">
        <f t="shared" si="164"/>
        <v>1.3012987540034077E-3</v>
      </c>
      <c r="GT37">
        <f t="shared" si="165"/>
        <v>1.1866889677050094E-3</v>
      </c>
      <c r="GU37">
        <f t="shared" si="166"/>
        <v>0.32950099261247257</v>
      </c>
      <c r="GV37">
        <f t="shared" si="167"/>
        <v>-0.32130851952354361</v>
      </c>
      <c r="GW37">
        <f t="shared" si="168"/>
        <v>0.45301874265746661</v>
      </c>
      <c r="GX37" s="2"/>
      <c r="GY37" s="15">
        <f t="shared" si="169"/>
        <v>0.19245665846899659</v>
      </c>
      <c r="GZ37" s="2">
        <f t="shared" si="170"/>
        <v>6.5674696914721012E-2</v>
      </c>
      <c r="HA37" s="2">
        <f t="shared" si="171"/>
        <v>9.0172622427474813E-2</v>
      </c>
      <c r="HB37" s="2">
        <f t="shared" si="172"/>
        <v>0.34830397781119243</v>
      </c>
      <c r="HC37" s="2">
        <f t="shared" si="173"/>
        <v>0.55255371953668275</v>
      </c>
      <c r="HD37" s="2">
        <f t="shared" si="174"/>
        <v>0.18855569014006998</v>
      </c>
      <c r="HE37" s="2">
        <f t="shared" si="175"/>
        <v>0.25889059032324724</v>
      </c>
      <c r="HF37" s="2">
        <f t="shared" si="176"/>
        <v>-1.2531281138652666</v>
      </c>
      <c r="HG37" s="2">
        <f t="shared" si="177"/>
        <v>-1.2566681018382713</v>
      </c>
      <c r="HH37" s="2">
        <f t="shared" si="178"/>
        <v>-1.2548981078517689</v>
      </c>
      <c r="HI37" s="2">
        <f t="shared" si="179"/>
        <v>2.7734686092637082</v>
      </c>
      <c r="HJ37" s="2">
        <f t="shared" si="180"/>
        <v>0.14141835931901453</v>
      </c>
      <c r="HK37" s="2">
        <f t="shared" si="181"/>
        <v>0.34379932795773199</v>
      </c>
      <c r="HL37" s="2">
        <f t="shared" si="182"/>
        <v>0.66551312672926244</v>
      </c>
    </row>
    <row r="38" spans="1:220" ht="20.25">
      <c r="A38" s="89" t="s">
        <v>153</v>
      </c>
      <c r="B38" s="77">
        <v>0</v>
      </c>
      <c r="C38" s="94">
        <f t="shared" si="126"/>
        <v>-4.01165494234146</v>
      </c>
      <c r="D38" s="59">
        <f t="shared" si="183"/>
        <v>-4.1033966933812014</v>
      </c>
      <c r="E38" s="60">
        <f t="shared" si="184"/>
        <v>-4.01165494234146</v>
      </c>
      <c r="F38" s="83">
        <v>47.496492835893044</v>
      </c>
      <c r="G38" s="83">
        <v>1.4510059059111786</v>
      </c>
      <c r="H38" s="83">
        <v>8.9389822250040698</v>
      </c>
      <c r="I38" s="83">
        <v>11.924540482576505</v>
      </c>
      <c r="J38" s="83">
        <v>0.12910303998436018</v>
      </c>
      <c r="K38" s="83">
        <v>21.599482648889445</v>
      </c>
      <c r="L38" s="83">
        <v>7.0002655453965392</v>
      </c>
      <c r="M38" s="83">
        <v>1.2980468694079694</v>
      </c>
      <c r="N38" s="83">
        <v>0.162080446936887</v>
      </c>
      <c r="O38" s="83"/>
      <c r="P38" s="83"/>
      <c r="Q38" s="84"/>
      <c r="R38" s="3">
        <f t="shared" si="185"/>
        <v>100</v>
      </c>
      <c r="S38" s="135">
        <v>2</v>
      </c>
      <c r="T38" s="288">
        <f t="shared" si="186"/>
        <v>0.34396732633361571</v>
      </c>
      <c r="U38" s="54">
        <f t="shared" si="187"/>
        <v>1560.2319977540701</v>
      </c>
      <c r="V38" s="54">
        <f t="shared" ca="1" si="188"/>
        <v>1552.6691070223942</v>
      </c>
      <c r="W38" s="54">
        <f t="shared" si="5"/>
        <v>1560.2319977540701</v>
      </c>
      <c r="X38" s="101">
        <f t="shared" ca="1" si="6"/>
        <v>1754.765426956207</v>
      </c>
      <c r="Y38" s="101">
        <f t="shared" ca="1" si="7"/>
        <v>1639.8542377693327</v>
      </c>
      <c r="Z38" s="50">
        <f t="shared" ca="1" si="8"/>
        <v>1740.3011351362384</v>
      </c>
      <c r="AA38" s="50">
        <f t="shared" ca="1" si="9"/>
        <v>1700.2875767182747</v>
      </c>
      <c r="AB38" s="103">
        <f t="shared" ca="1" si="128"/>
        <v>74.285356870695153</v>
      </c>
      <c r="AC38" s="283">
        <v>13.3</v>
      </c>
      <c r="AD38" s="283">
        <f t="shared" ca="1" si="10"/>
        <v>12.128540323942611</v>
      </c>
      <c r="AE38" s="3">
        <f t="shared" ca="1" si="11"/>
        <v>115.64255930768168</v>
      </c>
      <c r="AF38" s="3">
        <f t="shared" ca="1" si="12"/>
        <v>213.76413036183112</v>
      </c>
      <c r="AG38" s="3">
        <f t="shared" ca="1" si="13"/>
        <v>540.98205864537488</v>
      </c>
      <c r="AH38" s="3">
        <f t="shared" ca="1" si="14"/>
        <v>171.87555034376572</v>
      </c>
      <c r="AI38" s="85">
        <f t="shared" si="189"/>
        <v>0.40497573653760027</v>
      </c>
      <c r="AJ38" s="85">
        <f t="shared" ca="1" si="15"/>
        <v>2.6123167362793938</v>
      </c>
      <c r="AK38" s="85">
        <f t="shared" si="16"/>
        <v>0.27561976131523291</v>
      </c>
      <c r="AL38" s="86">
        <f t="shared" ca="1" si="130"/>
        <v>0.2840111585874342</v>
      </c>
      <c r="AM38" s="85">
        <f t="shared" si="17"/>
        <v>0.34396732633361571</v>
      </c>
      <c r="AN38" s="85">
        <f t="shared" ca="1" si="190"/>
        <v>0.3439673263336161</v>
      </c>
      <c r="AO38" s="123">
        <f t="shared" ca="1" si="191"/>
        <v>41.212573386433867</v>
      </c>
      <c r="AP38" s="123">
        <f t="shared" ca="1" si="192"/>
        <v>7.9682242985830323</v>
      </c>
      <c r="AQ38" s="123">
        <f t="shared" ca="1" si="193"/>
        <v>50.819202314983094</v>
      </c>
      <c r="AR38" s="2"/>
      <c r="AS38" s="53">
        <f t="shared" ca="1" si="132"/>
        <v>79.638197838910457</v>
      </c>
      <c r="AT38" s="53">
        <f t="shared" ca="1" si="194"/>
        <v>91.916397063829265</v>
      </c>
      <c r="AU38" s="63">
        <f t="shared" ca="1" si="22"/>
        <v>0.3439673263336161</v>
      </c>
      <c r="AV38" s="53">
        <f t="shared" si="195"/>
        <v>2.1038920014733038</v>
      </c>
      <c r="AW38" s="53">
        <f t="shared" ca="1" si="196"/>
        <v>2.1242243405360295</v>
      </c>
      <c r="AX38" s="54">
        <f t="shared" si="197"/>
        <v>1586.2062471045333</v>
      </c>
      <c r="AY38" s="54">
        <f t="shared" si="198"/>
        <v>1560.2319977540701</v>
      </c>
      <c r="AZ38" s="54">
        <f t="shared" ca="1" si="26"/>
        <v>1552.6691070223942</v>
      </c>
      <c r="BA38" s="34"/>
      <c r="BB38" s="63">
        <f t="shared" ca="1" si="27"/>
        <v>0.31771025969723288</v>
      </c>
      <c r="BC38" s="63">
        <f t="shared" ca="1" si="28"/>
        <v>7.116455691498956E-2</v>
      </c>
      <c r="BD38" s="53">
        <f t="shared" si="29"/>
        <v>0.16874555946453859</v>
      </c>
      <c r="BE38" s="53">
        <f t="shared" ca="1" si="30"/>
        <v>0.32358274374921348</v>
      </c>
      <c r="BF38" s="53">
        <f t="shared" ca="1" si="31"/>
        <v>0.33916108547206386</v>
      </c>
      <c r="BH38" s="53">
        <f t="shared" si="32"/>
        <v>0.24106947840903259</v>
      </c>
      <c r="BI38" s="53">
        <f t="shared" si="33"/>
        <v>0.31183777564525228</v>
      </c>
      <c r="BK38" s="53">
        <f t="shared" si="134"/>
        <v>0.5851332765577304</v>
      </c>
      <c r="BL38" s="53">
        <f t="shared" si="135"/>
        <v>0.1849228461853426</v>
      </c>
      <c r="BM38" s="53">
        <f t="shared" si="136"/>
        <v>0.30268896022036845</v>
      </c>
      <c r="BN38" s="53">
        <f t="shared" si="137"/>
        <v>0.38326713915316823</v>
      </c>
      <c r="BO38" s="53">
        <f t="shared" si="138"/>
        <v>0.52564785439422912</v>
      </c>
      <c r="BP38" s="53">
        <f t="shared" si="139"/>
        <v>0.50621248250458617</v>
      </c>
      <c r="BQ38" s="54">
        <f t="shared" si="140"/>
        <v>1472.3813525209541</v>
      </c>
      <c r="BR38" s="262">
        <f t="shared" si="141"/>
        <v>5.883397073014609</v>
      </c>
      <c r="BS38" s="54">
        <f t="shared" si="142"/>
        <v>1722.1676576450077</v>
      </c>
      <c r="BU38" s="2">
        <f t="shared" si="37"/>
        <v>0.79055414174256067</v>
      </c>
      <c r="BV38" s="2">
        <f t="shared" si="38"/>
        <v>1.8160274166597979E-2</v>
      </c>
      <c r="BW38" s="2">
        <f t="shared" si="39"/>
        <v>0.17534292320525835</v>
      </c>
      <c r="BX38" s="2">
        <f t="shared" si="40"/>
        <v>0.16596437693217128</v>
      </c>
      <c r="BY38" s="2">
        <f t="shared" si="41"/>
        <v>1.8198906115641413E-3</v>
      </c>
      <c r="BZ38" s="2">
        <f t="shared" si="42"/>
        <v>0.53596731138683495</v>
      </c>
      <c r="CA38" s="2">
        <f t="shared" si="43"/>
        <v>0.12482641842718509</v>
      </c>
      <c r="CB38" s="2">
        <f t="shared" si="44"/>
        <v>4.1885991268408182E-2</v>
      </c>
      <c r="CC38" s="2">
        <f t="shared" si="45"/>
        <v>3.4411984487661782E-3</v>
      </c>
      <c r="CD38" s="2">
        <f t="shared" si="46"/>
        <v>0</v>
      </c>
      <c r="CE38" s="2">
        <f t="shared" si="47"/>
        <v>0</v>
      </c>
      <c r="CF38" s="2">
        <f t="shared" si="199"/>
        <v>1.8579625261893464</v>
      </c>
      <c r="CG38" s="2">
        <f t="shared" si="200"/>
        <v>0.4254952027283217</v>
      </c>
      <c r="CH38" s="2">
        <f t="shared" si="201"/>
        <v>9.7742951812082191E-3</v>
      </c>
      <c r="CI38" s="2">
        <f t="shared" si="202"/>
        <v>9.437376735734497E-2</v>
      </c>
      <c r="CJ38" s="2">
        <f t="shared" si="203"/>
        <v>8.9326008782621549E-2</v>
      </c>
      <c r="CK38" s="2">
        <f t="shared" si="204"/>
        <v>9.7950878228782678E-4</v>
      </c>
      <c r="CL38" s="2">
        <f t="shared" si="205"/>
        <v>0.28847046365681872</v>
      </c>
      <c r="CM38" s="2">
        <f t="shared" si="206"/>
        <v>6.7184572706750018E-2</v>
      </c>
      <c r="CN38" s="2">
        <f t="shared" si="207"/>
        <v>2.2544045252794052E-2</v>
      </c>
      <c r="CO38" s="2">
        <f t="shared" si="208"/>
        <v>1.8521355518531502E-3</v>
      </c>
      <c r="CP38" s="2">
        <f t="shared" si="209"/>
        <v>0</v>
      </c>
      <c r="CQ38" s="2">
        <f t="shared" si="210"/>
        <v>0</v>
      </c>
      <c r="CR38" s="2"/>
      <c r="CS38" s="2">
        <f t="shared" ca="1" si="52"/>
        <v>0.6859616076303906</v>
      </c>
      <c r="CT38" s="2">
        <f t="shared" ca="1" si="53"/>
        <v>0.11090082531082857</v>
      </c>
      <c r="CU38" s="2">
        <f t="shared" ca="1" si="54"/>
        <v>1.2610223899499529</v>
      </c>
      <c r="CV38" s="2">
        <f t="shared" ca="1" si="211"/>
        <v>2.0578848228911721</v>
      </c>
      <c r="CW38" s="2">
        <f t="shared" ca="1" si="212"/>
        <v>0.33333333333333326</v>
      </c>
      <c r="CX38" s="2">
        <f t="shared" ca="1" si="213"/>
        <v>5.3890686241138276E-2</v>
      </c>
      <c r="CY38" s="2">
        <f t="shared" ca="1" si="214"/>
        <v>0.61277598042552839</v>
      </c>
      <c r="CZ38" s="2">
        <f t="shared" si="215"/>
        <v>0.44596055392847811</v>
      </c>
      <c r="DA38" s="2">
        <f t="shared" si="216"/>
        <v>0.4254952027283217</v>
      </c>
      <c r="DB38" s="2">
        <f t="shared" si="217"/>
        <v>-0.41570675705032767</v>
      </c>
      <c r="DC38" s="2"/>
      <c r="DD38" s="2">
        <f t="shared" si="218"/>
        <v>1586.2062471045333</v>
      </c>
      <c r="DE38" s="2">
        <f t="shared" si="219"/>
        <v>14591.502573847783</v>
      </c>
      <c r="DF38" s="2">
        <f t="shared" si="64"/>
        <v>7.8476099438019356</v>
      </c>
      <c r="DG38" s="2">
        <f t="shared" si="220"/>
        <v>1733.38199775407</v>
      </c>
      <c r="DH38" s="2">
        <f t="shared" si="221"/>
        <v>1460.2319977540701</v>
      </c>
      <c r="DI38" s="2">
        <f t="shared" si="143"/>
        <v>13602.905801982104</v>
      </c>
      <c r="DJ38" s="2">
        <f t="shared" si="67"/>
        <v>7.8476099438019356</v>
      </c>
      <c r="DK38" s="2">
        <f t="shared" si="222"/>
        <v>1733.38199775407</v>
      </c>
      <c r="DL38" s="2">
        <f t="shared" si="69"/>
        <v>2</v>
      </c>
      <c r="DM38" s="2">
        <f t="shared" si="223"/>
        <v>-0.41570675705032767</v>
      </c>
      <c r="DN38" s="2">
        <f t="shared" si="224"/>
        <v>0.44596055392847811</v>
      </c>
      <c r="DO38" s="2">
        <f t="shared" si="225"/>
        <v>0.4254952027283217</v>
      </c>
      <c r="DP38" s="2">
        <f t="shared" si="226"/>
        <v>2.1038920014733038</v>
      </c>
      <c r="DQ38" s="2">
        <f t="shared" si="74"/>
        <v>14591.599999999995</v>
      </c>
      <c r="DR38" s="2">
        <f t="shared" si="227"/>
        <v>7.8473867166298001</v>
      </c>
      <c r="DS38" s="2">
        <f t="shared" si="228"/>
        <v>1586.2715535572097</v>
      </c>
      <c r="DT38" s="2">
        <f t="shared" si="229"/>
        <v>1460.2996082846375</v>
      </c>
      <c r="DU38" s="2">
        <f t="shared" si="230"/>
        <v>1560.2996082846375</v>
      </c>
      <c r="DV38" s="9">
        <f t="shared" ca="1" si="231"/>
        <v>2.1242243405360295</v>
      </c>
      <c r="DW38" s="2">
        <f t="shared" ca="1" si="80"/>
        <v>2.8367212072923662</v>
      </c>
      <c r="DX38" s="2">
        <f t="shared" si="232"/>
        <v>4540.18</v>
      </c>
      <c r="DY38" s="2">
        <f t="shared" ca="1" si="233"/>
        <v>1600.5027171258664</v>
      </c>
      <c r="DZ38" s="2">
        <f t="shared" ca="1" si="234"/>
        <v>3.2565147300042083</v>
      </c>
      <c r="EA38" s="2"/>
      <c r="EB38" s="2">
        <f t="shared" si="83"/>
        <v>0.79055414174256067</v>
      </c>
      <c r="EC38" s="2">
        <f t="shared" si="84"/>
        <v>1.8160274166597979E-2</v>
      </c>
      <c r="ED38" s="2">
        <f t="shared" si="85"/>
        <v>8.7671461602629175E-2</v>
      </c>
      <c r="EE38" s="2">
        <f t="shared" si="86"/>
        <v>0.16596437693217128</v>
      </c>
      <c r="EF38" s="2">
        <f t="shared" si="87"/>
        <v>1.8198906115641413E-3</v>
      </c>
      <c r="EG38" s="2">
        <f t="shared" si="88"/>
        <v>0.53596731138683495</v>
      </c>
      <c r="EH38" s="2">
        <f t="shared" si="89"/>
        <v>0.12482641842718509</v>
      </c>
      <c r="EI38" s="2">
        <f t="shared" si="90"/>
        <v>2.0942995634204091E-2</v>
      </c>
      <c r="EJ38" s="2">
        <f t="shared" si="91"/>
        <v>1.7205992243830891E-3</v>
      </c>
      <c r="EK38" s="2">
        <f t="shared" si="92"/>
        <v>0</v>
      </c>
      <c r="EL38" s="2">
        <f t="shared" si="93"/>
        <v>0</v>
      </c>
      <c r="EM38" s="2">
        <f t="shared" si="235"/>
        <v>1.7476274697281304</v>
      </c>
      <c r="EN38" s="2">
        <f t="shared" si="236"/>
        <v>0.45235850055935728</v>
      </c>
      <c r="EO38" s="2">
        <f t="shared" si="237"/>
        <v>1.0391387455945105E-2</v>
      </c>
      <c r="EP38" s="2">
        <f t="shared" si="238"/>
        <v>5.0165989675286911E-2</v>
      </c>
      <c r="EQ38" s="2">
        <f t="shared" si="239"/>
        <v>9.496553459301571E-2</v>
      </c>
      <c r="ER38" s="2">
        <f t="shared" si="240"/>
        <v>1.041349282434461E-3</v>
      </c>
      <c r="ES38" s="2">
        <f t="shared" si="241"/>
        <v>0.30668281465626807</v>
      </c>
      <c r="ET38" s="2">
        <f t="shared" si="242"/>
        <v>7.1426216736341239E-2</v>
      </c>
      <c r="EU38" s="2">
        <f t="shared" si="243"/>
        <v>1.198367272028637E-2</v>
      </c>
      <c r="EV38" s="2">
        <f t="shared" si="244"/>
        <v>9.8453432106486286E-4</v>
      </c>
      <c r="EW38" s="2">
        <f t="shared" si="245"/>
        <v>0</v>
      </c>
      <c r="EX38" s="2">
        <f t="shared" si="246"/>
        <v>0</v>
      </c>
      <c r="EY38" s="2">
        <f t="shared" si="247"/>
        <v>1</v>
      </c>
      <c r="EZ38" s="2">
        <f t="shared" si="97"/>
        <v>9.437376735734497E-2</v>
      </c>
      <c r="FA38" s="2">
        <f t="shared" si="98"/>
        <v>0.52964326526687489</v>
      </c>
      <c r="FB38" s="2">
        <f t="shared" si="99"/>
        <v>1.4702582911858788</v>
      </c>
      <c r="FC38" s="2">
        <f t="shared" si="248"/>
        <v>0.82194352130425807</v>
      </c>
      <c r="FD38" s="2">
        <f t="shared" si="249"/>
        <v>1.551881379800232</v>
      </c>
      <c r="FE38" s="2">
        <f t="shared" ca="1" si="102"/>
        <v>0.1055524861142457</v>
      </c>
      <c r="FF38" s="2">
        <f t="shared" ca="1" si="103"/>
        <v>0.1055524861142457</v>
      </c>
      <c r="FG38" s="2">
        <f t="shared" ca="1" si="104"/>
        <v>0.14057848444009896</v>
      </c>
      <c r="FH38" s="2">
        <f t="shared" ca="1" si="105"/>
        <v>-3.2201783273425502</v>
      </c>
      <c r="FI38" s="2">
        <f t="shared" ca="1" si="106"/>
        <v>8.2766139197800875E-3</v>
      </c>
      <c r="FJ38" s="2">
        <f t="shared" ca="1" si="107"/>
        <v>7.8412306753455535E-2</v>
      </c>
      <c r="FK38" s="2">
        <f t="shared" ca="1" si="108"/>
        <v>0.25567884148102826</v>
      </c>
      <c r="FL38" s="2">
        <f t="shared" ca="1" si="109"/>
        <v>8.7945167504305755E-2</v>
      </c>
      <c r="FM38" s="2">
        <f t="shared" ca="1" si="250"/>
        <v>0.3439673263336161</v>
      </c>
      <c r="FN38" s="2">
        <f t="shared" ca="1" si="251"/>
        <v>8.7945167504305755E-2</v>
      </c>
      <c r="FO38" s="2">
        <f t="shared" ca="1" si="110"/>
        <v>8.7945167504305644E-2</v>
      </c>
      <c r="FP38" s="2">
        <f t="shared" ca="1" si="252"/>
        <v>1.8383279412765852</v>
      </c>
      <c r="FQ38" s="2">
        <f t="shared" ca="1" si="253"/>
        <v>0.16167205872341484</v>
      </c>
      <c r="FR38" s="2">
        <f t="shared" si="148"/>
        <v>0.33333333333333331</v>
      </c>
      <c r="FS38" s="2">
        <f t="shared" ca="1" si="254"/>
        <v>5.3890686241138276E-2</v>
      </c>
      <c r="FT38" s="2">
        <f t="shared" ca="1" si="255"/>
        <v>0.61277598042552839</v>
      </c>
      <c r="FU38" s="2">
        <f t="shared" si="256"/>
        <v>20.026666666666664</v>
      </c>
      <c r="FV38" s="2">
        <f t="shared" ca="1" si="257"/>
        <v>3.8720458064257848</v>
      </c>
      <c r="FW38" s="2">
        <f t="shared" ca="1" si="258"/>
        <v>24.694872011148792</v>
      </c>
      <c r="FX38" s="2">
        <f t="shared" ca="1" si="259"/>
        <v>48.593584484241241</v>
      </c>
      <c r="FY38" s="2">
        <f t="shared" ca="1" si="260"/>
        <v>41.212573386433867</v>
      </c>
      <c r="FZ38" s="2">
        <f t="shared" ca="1" si="261"/>
        <v>7.9682242985830323</v>
      </c>
      <c r="GA38" s="2">
        <f t="shared" ca="1" si="262"/>
        <v>50.819202314983094</v>
      </c>
      <c r="GB38" s="2">
        <f t="shared" ca="1" si="263"/>
        <v>91.916397063829251</v>
      </c>
      <c r="GC38" s="2">
        <f t="shared" si="120"/>
        <v>2000000000</v>
      </c>
      <c r="GD38" s="2">
        <f t="shared" si="149"/>
        <v>38</v>
      </c>
      <c r="GE38">
        <f t="shared" si="150"/>
        <v>1365.8967723999999</v>
      </c>
      <c r="GF38">
        <f t="shared" si="151"/>
        <v>1365.384</v>
      </c>
      <c r="GG38">
        <f t="shared" si="152"/>
        <v>1768.8040000000001</v>
      </c>
      <c r="GH38" s="2">
        <f t="shared" si="153"/>
        <v>0.48299042624081617</v>
      </c>
      <c r="GI38" s="2">
        <f t="shared" si="154"/>
        <v>1.5909999999999997</v>
      </c>
      <c r="GJ38" s="2">
        <f t="shared" si="155"/>
        <v>-2.33</v>
      </c>
      <c r="GK38" s="2">
        <f t="shared" si="156"/>
        <v>1.7459999999999998</v>
      </c>
      <c r="GL38" s="2">
        <f t="shared" si="157"/>
        <v>-0.48299042624081617</v>
      </c>
      <c r="GM38">
        <f t="shared" si="158"/>
        <v>0.44482626956853766</v>
      </c>
      <c r="GN38">
        <f t="shared" si="159"/>
        <v>8.801795638200631E-2</v>
      </c>
      <c r="GO38">
        <f t="shared" si="160"/>
        <v>-0.20266855523583718</v>
      </c>
      <c r="GP38">
        <f t="shared" si="161"/>
        <v>-0.13831340957640786</v>
      </c>
      <c r="GQ38">
        <f t="shared" si="162"/>
        <v>0.30374188621611298</v>
      </c>
      <c r="GR38">
        <f t="shared" si="163"/>
        <v>0.19787041009826134</v>
      </c>
      <c r="GS38">
        <f t="shared" si="164"/>
        <v>2.3662810722576991E-2</v>
      </c>
      <c r="GT38">
        <f t="shared" si="165"/>
        <v>1.1866889677050094E-3</v>
      </c>
      <c r="GU38">
        <f t="shared" si="166"/>
        <v>0.40300931337391627</v>
      </c>
      <c r="GV38">
        <f t="shared" si="167"/>
        <v>-0.26270230638472358</v>
      </c>
      <c r="GW38">
        <f t="shared" si="168"/>
        <v>0.5851332765577304</v>
      </c>
      <c r="GX38" s="2"/>
      <c r="GY38" s="15">
        <f t="shared" si="169"/>
        <v>0.20326358352230101</v>
      </c>
      <c r="GZ38" s="2">
        <f t="shared" si="170"/>
        <v>6.0557377131232014E-2</v>
      </c>
      <c r="HA38" s="2">
        <f t="shared" si="171"/>
        <v>8.2840313190483739E-2</v>
      </c>
      <c r="HB38" s="2">
        <f t="shared" si="172"/>
        <v>0.34666127384401674</v>
      </c>
      <c r="HC38" s="2">
        <f t="shared" si="173"/>
        <v>0.58634638149331109</v>
      </c>
      <c r="HD38" s="2">
        <f t="shared" si="174"/>
        <v>0.17468745920111151</v>
      </c>
      <c r="HE38" s="2">
        <f t="shared" si="175"/>
        <v>0.23896615930557752</v>
      </c>
      <c r="HF38" s="2">
        <f t="shared" si="176"/>
        <v>-1.2847537309786936</v>
      </c>
      <c r="HG38" s="2">
        <f t="shared" si="177"/>
        <v>-1.286677258740228</v>
      </c>
      <c r="HH38" s="2">
        <f t="shared" si="178"/>
        <v>-1.2857154948594607</v>
      </c>
      <c r="HI38" s="2">
        <f t="shared" si="179"/>
        <v>2.6330448409078873</v>
      </c>
      <c r="HJ38" s="2">
        <f t="shared" si="180"/>
        <v>0.15684005476238716</v>
      </c>
      <c r="HK38" s="2">
        <f t="shared" si="181"/>
        <v>0.34697039878658553</v>
      </c>
      <c r="HL38" s="2">
        <f t="shared" si="182"/>
        <v>0.67256260412872015</v>
      </c>
    </row>
    <row r="39" spans="1:220" ht="20.25">
      <c r="A39" s="88" t="s">
        <v>152</v>
      </c>
      <c r="B39" s="77">
        <v>3500</v>
      </c>
      <c r="C39" s="94">
        <f t="shared" si="126"/>
        <v>-2.4343661052978254</v>
      </c>
      <c r="D39" s="59">
        <f t="shared" si="183"/>
        <v>-2.0413607660230069</v>
      </c>
      <c r="E39" s="60">
        <f t="shared" si="184"/>
        <v>-2.4343661052978254</v>
      </c>
      <c r="F39" s="83">
        <v>47.588395715895587</v>
      </c>
      <c r="G39" s="83">
        <v>0.23749999999999999</v>
      </c>
      <c r="H39" s="83">
        <v>4.4749999999999996</v>
      </c>
      <c r="I39" s="83">
        <v>11.83624707781021</v>
      </c>
      <c r="J39" s="83">
        <v>0.26250000000000001</v>
      </c>
      <c r="K39" s="83">
        <v>27.71285720629421</v>
      </c>
      <c r="L39" s="83">
        <v>6.375</v>
      </c>
      <c r="M39" s="83">
        <v>0.61250000000000004</v>
      </c>
      <c r="N39" s="83">
        <v>0.22499999999999998</v>
      </c>
      <c r="O39" s="83">
        <v>0.53749999999999998</v>
      </c>
      <c r="P39" s="83">
        <v>1.2500000000000001E-2</v>
      </c>
      <c r="Q39" s="84"/>
      <c r="R39" s="3">
        <f t="shared" si="185"/>
        <v>99.875</v>
      </c>
      <c r="S39" s="135">
        <v>4</v>
      </c>
      <c r="T39" s="288">
        <f t="shared" si="186"/>
        <v>0.36071637882098895</v>
      </c>
      <c r="U39" s="54">
        <f t="shared" si="187"/>
        <v>1739.2419567214388</v>
      </c>
      <c r="V39" s="54">
        <f t="shared" ca="1" si="188"/>
        <v>1735.7701796122831</v>
      </c>
      <c r="W39" s="54">
        <f t="shared" si="5"/>
        <v>1739.2419567214388</v>
      </c>
      <c r="X39" s="101">
        <f t="shared" ca="1" si="6"/>
        <v>2039.8918335067549</v>
      </c>
      <c r="Y39" s="101">
        <f t="shared" ca="1" si="7"/>
        <v>1913.7498339189046</v>
      </c>
      <c r="Z39" s="50">
        <f t="shared" ca="1" si="8"/>
        <v>2030.9627453239652</v>
      </c>
      <c r="AA39" s="50">
        <f t="shared" ca="1" si="9"/>
        <v>1983.5939130179042</v>
      </c>
      <c r="AB39" s="103">
        <f t="shared" ca="1" si="128"/>
        <v>84.846171510648404</v>
      </c>
      <c r="AC39" s="283">
        <v>13.3</v>
      </c>
      <c r="AD39" s="283">
        <f t="shared" ca="1" si="10"/>
        <v>13.478687954830606</v>
      </c>
      <c r="AE39" s="3">
        <f t="shared" ca="1" si="11"/>
        <v>125.58103178928096</v>
      </c>
      <c r="AF39" s="3">
        <f t="shared" ca="1" si="12"/>
        <v>215.03495411642353</v>
      </c>
      <c r="AG39" s="3">
        <f t="shared" ca="1" si="13"/>
        <v>584.00287667320015</v>
      </c>
      <c r="AH39" s="3">
        <f t="shared" ca="1" si="14"/>
        <v>301.73848522494359</v>
      </c>
      <c r="AI39" s="85">
        <f t="shared" si="189"/>
        <v>0.52632628498832446</v>
      </c>
      <c r="AJ39" s="85">
        <f t="shared" ca="1" si="15"/>
        <v>4.1129269012003986</v>
      </c>
      <c r="AK39" s="85">
        <f t="shared" si="16"/>
        <v>0.30992103833574275</v>
      </c>
      <c r="AL39" s="86">
        <f t="shared" ca="1" si="130"/>
        <v>0.28690525994729316</v>
      </c>
      <c r="AM39" s="85">
        <f t="shared" si="17"/>
        <v>0.36071637882098895</v>
      </c>
      <c r="AN39" s="85">
        <f t="shared" ca="1" si="190"/>
        <v>0.36071637882098928</v>
      </c>
      <c r="AO39" s="123">
        <f t="shared" ca="1" si="191"/>
        <v>41.509489816523249</v>
      </c>
      <c r="AP39" s="123">
        <f t="shared" ca="1" si="192"/>
        <v>6.3849211522180171</v>
      </c>
      <c r="AQ39" s="123">
        <f t="shared" ca="1" si="193"/>
        <v>52.105589031258731</v>
      </c>
      <c r="AR39" s="2"/>
      <c r="AS39" s="53">
        <f t="shared" ca="1" si="132"/>
        <v>83.995575875100386</v>
      </c>
      <c r="AT39" s="53">
        <f t="shared" ca="1" si="194"/>
        <v>93.568958697846611</v>
      </c>
      <c r="AU39" s="63">
        <f t="shared" ca="1" si="22"/>
        <v>0.36071637882098928</v>
      </c>
      <c r="AV39" s="53">
        <f t="shared" si="195"/>
        <v>1.6950571697749834</v>
      </c>
      <c r="AW39" s="53">
        <f t="shared" ca="1" si="196"/>
        <v>1.7093777811546242</v>
      </c>
      <c r="AX39" s="54">
        <f t="shared" si="197"/>
        <v>1821.0068753722458</v>
      </c>
      <c r="AY39" s="54">
        <f t="shared" si="198"/>
        <v>1739.2419567214388</v>
      </c>
      <c r="AZ39" s="54">
        <f t="shared" ca="1" si="26"/>
        <v>1735.7701796122831</v>
      </c>
      <c r="BA39" s="34"/>
      <c r="BB39" s="63">
        <f t="shared" ca="1" si="27"/>
        <v>0.51667294336598313</v>
      </c>
      <c r="BC39" s="63">
        <f t="shared" ca="1" si="28"/>
        <v>7.2395569687352043E-2</v>
      </c>
      <c r="BD39" s="53">
        <f t="shared" si="29"/>
        <v>0.4405685344803566</v>
      </c>
      <c r="BE39" s="53">
        <f t="shared" ca="1" si="30"/>
        <v>0.52991495461140725</v>
      </c>
      <c r="BF39" s="53">
        <f t="shared" ca="1" si="31"/>
        <v>0.34284391859205343</v>
      </c>
      <c r="BH39" s="53">
        <f t="shared" si="32"/>
        <v>0.47084948168340196</v>
      </c>
      <c r="BI39" s="53">
        <f t="shared" si="33"/>
        <v>0.503430932120559</v>
      </c>
      <c r="BK39" s="53">
        <f t="shared" si="134"/>
        <v>0.72952376238492977</v>
      </c>
      <c r="BL39" s="53">
        <f t="shared" si="135"/>
        <v>0.58877006634928863</v>
      </c>
      <c r="BM39" s="53">
        <f t="shared" si="136"/>
        <v>0.70548930755877881</v>
      </c>
      <c r="BN39" s="53">
        <f t="shared" si="137"/>
        <v>1.175335357384794</v>
      </c>
      <c r="BO39" s="53">
        <f t="shared" si="138"/>
        <v>0.719879701898538</v>
      </c>
      <c r="BP39" s="53">
        <f t="shared" si="139"/>
        <v>0.62172124668785278</v>
      </c>
      <c r="BQ39" s="54">
        <f t="shared" si="140"/>
        <v>1573.3133231077461</v>
      </c>
      <c r="BR39" s="262">
        <f t="shared" si="141"/>
        <v>12.9298994900757</v>
      </c>
      <c r="BS39" s="54">
        <f t="shared" si="142"/>
        <v>1995.464802156434</v>
      </c>
      <c r="BU39" s="2">
        <f t="shared" si="37"/>
        <v>0.79208381684246987</v>
      </c>
      <c r="BV39" s="2">
        <f t="shared" si="38"/>
        <v>2.9724655819774715E-3</v>
      </c>
      <c r="BW39" s="2">
        <f t="shared" si="39"/>
        <v>8.77795213809337E-2</v>
      </c>
      <c r="BX39" s="2">
        <f t="shared" si="40"/>
        <v>0.16473551952415047</v>
      </c>
      <c r="BY39" s="2">
        <f t="shared" si="41"/>
        <v>3.7003101212292082E-3</v>
      </c>
      <c r="BZ39" s="2">
        <f t="shared" si="42"/>
        <v>0.68766395052839235</v>
      </c>
      <c r="CA39" s="2">
        <f t="shared" si="43"/>
        <v>0.11367689015691869</v>
      </c>
      <c r="CB39" s="2">
        <f t="shared" si="44"/>
        <v>1.9764440141981286E-2</v>
      </c>
      <c r="CC39" s="2">
        <f t="shared" si="45"/>
        <v>4.7770700636942673E-3</v>
      </c>
      <c r="CD39" s="2">
        <f t="shared" si="46"/>
        <v>7.0728337390617794E-3</v>
      </c>
      <c r="CE39" s="2">
        <f t="shared" si="47"/>
        <v>1.7613075947583488E-4</v>
      </c>
      <c r="CF39" s="2">
        <f t="shared" si="199"/>
        <v>1.8844029488402849</v>
      </c>
      <c r="CG39" s="2">
        <f t="shared" si="200"/>
        <v>0.42033675299114809</v>
      </c>
      <c r="CH39" s="2">
        <f t="shared" si="201"/>
        <v>1.5774044419781933E-3</v>
      </c>
      <c r="CI39" s="2">
        <f t="shared" si="202"/>
        <v>4.65821396824685E-2</v>
      </c>
      <c r="CJ39" s="2">
        <f t="shared" si="203"/>
        <v>8.7420537961656969E-2</v>
      </c>
      <c r="CK39" s="2">
        <f t="shared" si="204"/>
        <v>1.96365120501774E-3</v>
      </c>
      <c r="CL39" s="2">
        <f t="shared" si="205"/>
        <v>0.36492404713737064</v>
      </c>
      <c r="CM39" s="2">
        <f t="shared" si="206"/>
        <v>6.0325149791810015E-2</v>
      </c>
      <c r="CN39" s="2">
        <f t="shared" si="207"/>
        <v>1.0488436220153913E-2</v>
      </c>
      <c r="CO39" s="2">
        <f t="shared" si="208"/>
        <v>2.53505762482181E-3</v>
      </c>
      <c r="CP39" s="2">
        <f t="shared" si="209"/>
        <v>3.7533552701212881E-3</v>
      </c>
      <c r="CQ39" s="2">
        <f t="shared" si="210"/>
        <v>9.3467673452873103E-5</v>
      </c>
      <c r="CR39" s="2"/>
      <c r="CS39" s="2">
        <f t="shared" ca="1" si="52"/>
        <v>0.69090362544146555</v>
      </c>
      <c r="CT39" s="2">
        <f t="shared" ca="1" si="53"/>
        <v>8.8864595020431703E-2</v>
      </c>
      <c r="CU39" s="2">
        <f t="shared" ca="1" si="54"/>
        <v>1.2929426558624997</v>
      </c>
      <c r="CV39" s="2">
        <f t="shared" ca="1" si="211"/>
        <v>2.0727108763243969</v>
      </c>
      <c r="CW39" s="2">
        <f t="shared" ca="1" si="212"/>
        <v>0.33333333333333331</v>
      </c>
      <c r="CX39" s="2">
        <f t="shared" ca="1" si="213"/>
        <v>4.2873608681022642E-2</v>
      </c>
      <c r="CY39" s="2">
        <f t="shared" ca="1" si="214"/>
        <v>0.62379305798564411</v>
      </c>
      <c r="CZ39" s="2">
        <f t="shared" si="215"/>
        <v>0.51463338609585541</v>
      </c>
      <c r="DA39" s="2">
        <f t="shared" si="216"/>
        <v>0.42033675299114809</v>
      </c>
      <c r="DB39" s="2">
        <f t="shared" si="217"/>
        <v>-0.17800755982282515</v>
      </c>
      <c r="DC39" s="2"/>
      <c r="DD39" s="2">
        <f t="shared" si="218"/>
        <v>1821.0068753722458</v>
      </c>
      <c r="DE39" s="2">
        <f t="shared" si="219"/>
        <v>15580.148778023671</v>
      </c>
      <c r="DF39" s="2">
        <f t="shared" si="64"/>
        <v>7.4398193188149913</v>
      </c>
      <c r="DG39" s="2">
        <f t="shared" si="220"/>
        <v>1828.3919567214389</v>
      </c>
      <c r="DH39" s="2">
        <f t="shared" si="221"/>
        <v>1555.2419567214388</v>
      </c>
      <c r="DI39" s="2">
        <f t="shared" si="143"/>
        <v>13602.905801982104</v>
      </c>
      <c r="DJ39" s="2">
        <f t="shared" si="67"/>
        <v>7.4398193188149913</v>
      </c>
      <c r="DK39" s="2">
        <f t="shared" si="222"/>
        <v>1828.3919567214389</v>
      </c>
      <c r="DL39" s="2">
        <f t="shared" si="69"/>
        <v>4</v>
      </c>
      <c r="DM39" s="2">
        <f t="shared" si="223"/>
        <v>-0.17800755982282515</v>
      </c>
      <c r="DN39" s="2">
        <f t="shared" si="224"/>
        <v>0.51463338609585541</v>
      </c>
      <c r="DO39" s="2">
        <f t="shared" si="225"/>
        <v>0.42033675299114809</v>
      </c>
      <c r="DP39" s="2">
        <f t="shared" si="226"/>
        <v>1.6950571697749834</v>
      </c>
      <c r="DQ39" s="2">
        <f t="shared" si="74"/>
        <v>15580.199999999995</v>
      </c>
      <c r="DR39" s="2">
        <f t="shared" si="227"/>
        <v>7.4395960916428558</v>
      </c>
      <c r="DS39" s="2">
        <f t="shared" si="228"/>
        <v>1821.0765961860143</v>
      </c>
      <c r="DT39" s="2">
        <f t="shared" si="229"/>
        <v>1555.3161240253016</v>
      </c>
      <c r="DU39" s="2">
        <f t="shared" si="230"/>
        <v>1739.3161240253016</v>
      </c>
      <c r="DV39" s="9">
        <f t="shared" ca="1" si="231"/>
        <v>1.7093777811546242</v>
      </c>
      <c r="DW39" s="2">
        <f t="shared" ca="1" si="80"/>
        <v>2.6512913086277625</v>
      </c>
      <c r="DX39" s="2">
        <f t="shared" si="232"/>
        <v>4650.3599999999997</v>
      </c>
      <c r="DY39" s="2">
        <f t="shared" ca="1" si="233"/>
        <v>1753.9981309737336</v>
      </c>
      <c r="DZ39" s="2">
        <f t="shared" ca="1" si="234"/>
        <v>2.6365703999871961</v>
      </c>
      <c r="EA39" s="2"/>
      <c r="EB39" s="2">
        <f t="shared" si="83"/>
        <v>0.79208381684246987</v>
      </c>
      <c r="EC39" s="2">
        <f t="shared" si="84"/>
        <v>2.9724655819774715E-3</v>
      </c>
      <c r="ED39" s="2">
        <f t="shared" si="85"/>
        <v>4.388976069046685E-2</v>
      </c>
      <c r="EE39" s="2">
        <f t="shared" si="86"/>
        <v>0.16473551952415047</v>
      </c>
      <c r="EF39" s="2">
        <f t="shared" si="87"/>
        <v>3.7003101212292082E-3</v>
      </c>
      <c r="EG39" s="2">
        <f t="shared" si="88"/>
        <v>0.68766395052839235</v>
      </c>
      <c r="EH39" s="2">
        <f t="shared" si="89"/>
        <v>0.11367689015691869</v>
      </c>
      <c r="EI39" s="2">
        <f t="shared" si="90"/>
        <v>9.8822200709906428E-3</v>
      </c>
      <c r="EJ39" s="2">
        <f t="shared" si="91"/>
        <v>2.3885350318471337E-3</v>
      </c>
      <c r="EK39" s="2">
        <f t="shared" si="92"/>
        <v>3.5364168695308897E-3</v>
      </c>
      <c r="EL39" s="2">
        <f t="shared" si="93"/>
        <v>8.8065379737917439E-5</v>
      </c>
      <c r="EM39" s="2">
        <f t="shared" si="235"/>
        <v>1.8246179507977116</v>
      </c>
      <c r="EN39" s="2">
        <f t="shared" si="236"/>
        <v>0.434109407120639</v>
      </c>
      <c r="EO39" s="2">
        <f t="shared" si="237"/>
        <v>1.6290893009563608E-3</v>
      </c>
      <c r="EP39" s="2">
        <f t="shared" si="238"/>
        <v>2.4054219499089396E-2</v>
      </c>
      <c r="EQ39" s="2">
        <f t="shared" si="239"/>
        <v>9.0284938527612935E-2</v>
      </c>
      <c r="ER39" s="2">
        <f t="shared" si="240"/>
        <v>2.027991733618238E-3</v>
      </c>
      <c r="ES39" s="2">
        <f t="shared" si="241"/>
        <v>0.37688106171911218</v>
      </c>
      <c r="ET39" s="2">
        <f t="shared" si="242"/>
        <v>6.230174930988696E-2</v>
      </c>
      <c r="EU39" s="2">
        <f t="shared" si="243"/>
        <v>5.4160489140590764E-3</v>
      </c>
      <c r="EV39" s="2">
        <f t="shared" si="244"/>
        <v>1.3090603601717723E-3</v>
      </c>
      <c r="EW39" s="2">
        <f t="shared" si="245"/>
        <v>1.938168408342574E-3</v>
      </c>
      <c r="EX39" s="2">
        <f t="shared" si="246"/>
        <v>4.8265106511429315E-5</v>
      </c>
      <c r="EY39" s="2">
        <f t="shared" si="247"/>
        <v>1</v>
      </c>
      <c r="EZ39" s="2">
        <f t="shared" si="97"/>
        <v>4.65821396824685E-2</v>
      </c>
      <c r="FA39" s="2">
        <f t="shared" si="98"/>
        <v>0.46849629711559476</v>
      </c>
      <c r="FB39" s="2">
        <f t="shared" si="99"/>
        <v>1.4407103594971129</v>
      </c>
      <c r="FC39" s="2">
        <f t="shared" si="248"/>
        <v>1.0074355305318468</v>
      </c>
      <c r="FD39" s="2">
        <f t="shared" si="249"/>
        <v>2.1503596436820427</v>
      </c>
      <c r="FE39" s="2">
        <f t="shared" ca="1" si="102"/>
        <v>0.12863326187755478</v>
      </c>
      <c r="FF39" s="2">
        <f t="shared" ca="1" si="103"/>
        <v>0.12863326187755478</v>
      </c>
      <c r="FG39" s="2">
        <f t="shared" ca="1" si="104"/>
        <v>0.22407232869149332</v>
      </c>
      <c r="FH39" s="2">
        <f t="shared" ca="1" si="105"/>
        <v>-1.3047195284750976</v>
      </c>
      <c r="FI39" s="2">
        <f t="shared" ca="1" si="106"/>
        <v>9.2372189363116117E-3</v>
      </c>
      <c r="FJ39" s="2">
        <f t="shared" ca="1" si="107"/>
        <v>7.1810500654989715E-2</v>
      </c>
      <c r="FK39" s="2">
        <f t="shared" ca="1" si="108"/>
        <v>0.19053889396148477</v>
      </c>
      <c r="FL39" s="2">
        <f t="shared" ca="1" si="109"/>
        <v>6.8730499854343249E-2</v>
      </c>
      <c r="FM39" s="2">
        <f t="shared" ca="1" si="250"/>
        <v>0.36071637882098928</v>
      </c>
      <c r="FN39" s="2">
        <f t="shared" ca="1" si="251"/>
        <v>6.8730499854343249E-2</v>
      </c>
      <c r="FO39" s="2">
        <f t="shared" ca="1" si="110"/>
        <v>6.873049985434318E-2</v>
      </c>
      <c r="FP39" s="2">
        <f t="shared" ca="1" si="252"/>
        <v>1.8713791739569321</v>
      </c>
      <c r="FQ39" s="2">
        <f t="shared" ca="1" si="253"/>
        <v>0.1286208260430679</v>
      </c>
      <c r="FR39" s="2">
        <f t="shared" si="148"/>
        <v>0.33333333333333331</v>
      </c>
      <c r="FS39" s="2">
        <f t="shared" ca="1" si="254"/>
        <v>4.2873608681022635E-2</v>
      </c>
      <c r="FT39" s="2">
        <f t="shared" ca="1" si="255"/>
        <v>0.62379305798564399</v>
      </c>
      <c r="FU39" s="2">
        <f t="shared" si="256"/>
        <v>20.026666666666664</v>
      </c>
      <c r="FV39" s="2">
        <f t="shared" ca="1" si="257"/>
        <v>3.0804687837314759</v>
      </c>
      <c r="FW39" s="2">
        <f t="shared" ca="1" si="258"/>
        <v>25.138860236821451</v>
      </c>
      <c r="FX39" s="2">
        <f t="shared" ca="1" si="259"/>
        <v>48.24599568721959</v>
      </c>
      <c r="FY39" s="2">
        <f t="shared" ca="1" si="260"/>
        <v>41.509489816523249</v>
      </c>
      <c r="FZ39" s="2">
        <f t="shared" ca="1" si="261"/>
        <v>6.3849211522180171</v>
      </c>
      <c r="GA39" s="2">
        <f t="shared" ca="1" si="262"/>
        <v>52.105589031258731</v>
      </c>
      <c r="GB39" s="2">
        <f t="shared" ca="1" si="263"/>
        <v>93.568958697846611</v>
      </c>
      <c r="GC39" s="2">
        <f t="shared" si="120"/>
        <v>4000000000</v>
      </c>
      <c r="GD39" s="2">
        <f t="shared" si="149"/>
        <v>38</v>
      </c>
      <c r="GE39">
        <f t="shared" si="150"/>
        <v>1570.0092115999998</v>
      </c>
      <c r="GF39">
        <f t="shared" si="151"/>
        <v>1569.9359999999999</v>
      </c>
      <c r="GG39">
        <f t="shared" si="152"/>
        <v>1874.2760000000003</v>
      </c>
      <c r="GH39" s="2">
        <f t="shared" si="153"/>
        <v>0.55630530564972946</v>
      </c>
      <c r="GI39" s="2">
        <f t="shared" si="154"/>
        <v>0.98699999999999988</v>
      </c>
      <c r="GJ39" s="2">
        <f t="shared" si="155"/>
        <v>-1.1860000000000004</v>
      </c>
      <c r="GK39" s="2">
        <f t="shared" si="156"/>
        <v>1.2039999999999997</v>
      </c>
      <c r="GL39" s="2">
        <f t="shared" si="157"/>
        <v>-0.55630530564972946</v>
      </c>
      <c r="GM39">
        <f t="shared" si="158"/>
        <v>0.32834994462901457</v>
      </c>
      <c r="GN39">
        <f t="shared" si="159"/>
        <v>3.5400617873621851E-2</v>
      </c>
      <c r="GO39">
        <f t="shared" si="160"/>
        <v>-0.13458529707177633</v>
      </c>
      <c r="GP39">
        <f t="shared" si="161"/>
        <v>-0.23102379802729633</v>
      </c>
      <c r="GQ39">
        <f t="shared" si="162"/>
        <v>0.27325581395348841</v>
      </c>
      <c r="GR39">
        <f t="shared" si="163"/>
        <v>0.10781368613787694</v>
      </c>
      <c r="GS39">
        <f t="shared" si="164"/>
        <v>0.13183911882914184</v>
      </c>
      <c r="GT39">
        <f t="shared" si="165"/>
        <v>4.5283326368835289E-3</v>
      </c>
      <c r="GU39">
        <f t="shared" si="166"/>
        <v>0.65410343099024582</v>
      </c>
      <c r="GV39">
        <f t="shared" si="167"/>
        <v>-0.25292961323433055</v>
      </c>
      <c r="GW39">
        <f t="shared" si="168"/>
        <v>0.72952376238492977</v>
      </c>
      <c r="GX39" s="2"/>
      <c r="GY39" s="15">
        <f t="shared" si="169"/>
        <v>0.22010510586386448</v>
      </c>
      <c r="GZ39" s="2">
        <f t="shared" si="170"/>
        <v>2.7621477208388333E-2</v>
      </c>
      <c r="HA39" s="2">
        <f t="shared" si="171"/>
        <v>7.6815446469743684E-2</v>
      </c>
      <c r="HB39" s="2">
        <f t="shared" si="172"/>
        <v>0.32454202954199651</v>
      </c>
      <c r="HC39" s="2">
        <f t="shared" si="173"/>
        <v>0.67820216128704014</v>
      </c>
      <c r="HD39" s="2">
        <f t="shared" si="174"/>
        <v>8.5109091255048203E-2</v>
      </c>
      <c r="HE39" s="2">
        <f t="shared" si="175"/>
        <v>0.23668874745791155</v>
      </c>
      <c r="HF39" s="2">
        <f t="shared" si="176"/>
        <v>-1.2882270431787481</v>
      </c>
      <c r="HG39" s="2">
        <f t="shared" si="177"/>
        <v>-1.2898794576557395</v>
      </c>
      <c r="HH39" s="2">
        <f t="shared" si="178"/>
        <v>-1.2890532504172438</v>
      </c>
      <c r="HI39" s="2">
        <f t="shared" si="179"/>
        <v>2.6171830246674452</v>
      </c>
      <c r="HJ39" s="2">
        <f t="shared" si="180"/>
        <v>0.15866795143968915</v>
      </c>
      <c r="HK39" s="2">
        <f t="shared" si="181"/>
        <v>0.35416053979779227</v>
      </c>
      <c r="HL39" s="2">
        <f t="shared" si="182"/>
        <v>0.67757963713306979</v>
      </c>
    </row>
    <row r="40" spans="1:220" ht="20.25">
      <c r="A40" s="88" t="s">
        <v>152</v>
      </c>
      <c r="B40" s="77">
        <v>3500</v>
      </c>
      <c r="C40" s="94">
        <f t="shared" si="126"/>
        <v>-2.4343661052978254</v>
      </c>
      <c r="D40" s="59">
        <f t="shared" ref="D40" si="264">5.5976-24505/(U40+273.15)+0.8099*LOG(U40+273.15)+0.0937*(S40*10*1000-1)/(273.15+U40)+$D$4</f>
        <v>-2.0413607660230069</v>
      </c>
      <c r="E40" s="60">
        <f t="shared" ref="E40" si="265">12.985-25026/(U40+273.15)-1.1786*LOG(U40+273.15)+0.0458*(S40*10*1000-1)/(U40+273.15)+$E$4</f>
        <v>-2.4343661052978254</v>
      </c>
      <c r="F40" s="83">
        <v>47.588395715895587</v>
      </c>
      <c r="G40" s="83">
        <v>0.23749999999999999</v>
      </c>
      <c r="H40" s="83">
        <v>4.4749999999999996</v>
      </c>
      <c r="I40" s="83">
        <v>11.83624707781021</v>
      </c>
      <c r="J40" s="83">
        <v>0.26250000000000001</v>
      </c>
      <c r="K40" s="83">
        <v>27.71285720629421</v>
      </c>
      <c r="L40" s="83">
        <v>6.375</v>
      </c>
      <c r="M40" s="83">
        <v>0.61250000000000004</v>
      </c>
      <c r="N40" s="83">
        <v>0.22499999999999998</v>
      </c>
      <c r="O40" s="83">
        <v>0.53749999999999998</v>
      </c>
      <c r="P40" s="83">
        <v>1.2500000000000001E-2</v>
      </c>
      <c r="Q40" s="84"/>
      <c r="R40" s="3">
        <f t="shared" ref="R40" si="266">SUM(F40:P40)</f>
        <v>99.875</v>
      </c>
      <c r="S40" s="135">
        <v>4</v>
      </c>
      <c r="T40" s="288">
        <f t="shared" ref="T40" si="267">AM40</f>
        <v>0.36071637882098895</v>
      </c>
      <c r="U40" s="54">
        <f t="shared" ref="U40" si="268">AY40</f>
        <v>1739.2419567214388</v>
      </c>
      <c r="V40" s="54">
        <f t="shared" ref="V40" ca="1" si="269">AZ40</f>
        <v>1735.7701796122831</v>
      </c>
      <c r="W40" s="54">
        <f t="shared" si="5"/>
        <v>1739.2419567214388</v>
      </c>
      <c r="X40" s="101">
        <f t="shared" ca="1" si="6"/>
        <v>2039.8918335067549</v>
      </c>
      <c r="Y40" s="101">
        <f t="shared" ca="1" si="7"/>
        <v>1913.7498339189046</v>
      </c>
      <c r="Z40" s="50">
        <f t="shared" ca="1" si="8"/>
        <v>2030.9627453239652</v>
      </c>
      <c r="AA40" s="50">
        <f t="shared" ca="1" si="9"/>
        <v>1983.5939130179042</v>
      </c>
      <c r="AB40" s="103">
        <f t="shared" ca="1" si="128"/>
        <v>84.846171510648404</v>
      </c>
      <c r="AC40" s="283">
        <v>13.3</v>
      </c>
      <c r="AD40" s="283">
        <f t="shared" ca="1" si="10"/>
        <v>13.478687954830606</v>
      </c>
      <c r="AE40" s="3">
        <f t="shared" ca="1" si="11"/>
        <v>125.58103178928096</v>
      </c>
      <c r="AF40" s="3">
        <f t="shared" ca="1" si="12"/>
        <v>215.03495411642353</v>
      </c>
      <c r="AG40" s="3">
        <f t="shared" ca="1" si="13"/>
        <v>584.00287667320015</v>
      </c>
      <c r="AH40" s="3">
        <f t="shared" ca="1" si="14"/>
        <v>301.73848522494359</v>
      </c>
      <c r="AI40" s="85">
        <f t="shared" ref="AI40" si="270">((3*CG40)^-2)*((1-CI40)^(7/2))*((1-CH40)^7)</f>
        <v>0.52632628498832446</v>
      </c>
      <c r="AJ40" s="85">
        <f t="shared" ca="1" si="15"/>
        <v>4.1129269012003986</v>
      </c>
      <c r="AK40" s="85">
        <f t="shared" si="16"/>
        <v>0.30992103833574275</v>
      </c>
      <c r="AL40" s="86">
        <f t="shared" ca="1" si="130"/>
        <v>0.28690525994729316</v>
      </c>
      <c r="AM40" s="85">
        <f t="shared" si="17"/>
        <v>0.36071637882098895</v>
      </c>
      <c r="AN40" s="85">
        <f t="shared" ref="AN40" ca="1" si="271">FM40</f>
        <v>0.36071637882098928</v>
      </c>
      <c r="AO40" s="123">
        <f t="shared" ref="AO40" ca="1" si="272">FY40</f>
        <v>41.509489816523249</v>
      </c>
      <c r="AP40" s="123">
        <f t="shared" ref="AP40" ca="1" si="273">FZ40</f>
        <v>6.3849211522180171</v>
      </c>
      <c r="AQ40" s="123">
        <f t="shared" ref="AQ40" ca="1" si="274">GA40</f>
        <v>52.105589031258731</v>
      </c>
      <c r="AR40" s="2"/>
      <c r="AS40" s="53">
        <f t="shared" ca="1" si="132"/>
        <v>83.995575875100386</v>
      </c>
      <c r="AT40" s="53">
        <f t="shared" ref="AT40" ca="1" si="275">100*CU40/(CU40+CT40)</f>
        <v>93.568958697846611</v>
      </c>
      <c r="AU40" s="63">
        <f t="shared" ca="1" si="22"/>
        <v>0.36071637882098928</v>
      </c>
      <c r="AV40" s="53">
        <f t="shared" ref="AV40" si="276">(0.666-(-0.049*CK40+0.027*CJ40))/(1*CL40+0.259*CK40+0.299*CJ40)</f>
        <v>1.6950571697749834</v>
      </c>
      <c r="AW40" s="53">
        <f t="shared" ref="AW40" ca="1" si="277">CY40/CL40</f>
        <v>1.7093777811546242</v>
      </c>
      <c r="AX40" s="54">
        <f t="shared" ref="AX40" si="278">(DE40/DF40)-273.15</f>
        <v>1821.0068753722458</v>
      </c>
      <c r="AY40" s="54">
        <f t="shared" ref="AY40" si="279">(DK40-273.15)+54*DL40-2*DL40^2</f>
        <v>1739.2419567214388</v>
      </c>
      <c r="AZ40" s="54">
        <f t="shared" ca="1" si="26"/>
        <v>1735.7701796122831</v>
      </c>
      <c r="BA40" s="34"/>
      <c r="BB40" s="63">
        <f t="shared" ca="1" si="27"/>
        <v>0.51667294336598313</v>
      </c>
      <c r="BC40" s="63">
        <f t="shared" ca="1" si="28"/>
        <v>7.2395569687352043E-2</v>
      </c>
      <c r="BD40" s="53">
        <f t="shared" si="29"/>
        <v>0.4405685344803566</v>
      </c>
      <c r="BE40" s="53">
        <f t="shared" ca="1" si="30"/>
        <v>0.52991495461140725</v>
      </c>
      <c r="BF40" s="53">
        <f t="shared" ca="1" si="31"/>
        <v>0.34284391859205343</v>
      </c>
      <c r="BH40" s="53">
        <f t="shared" si="32"/>
        <v>0.47084948168340196</v>
      </c>
      <c r="BI40" s="53">
        <f t="shared" si="33"/>
        <v>0.503430932120559</v>
      </c>
      <c r="BK40" s="53">
        <f t="shared" si="134"/>
        <v>0.72952376238492977</v>
      </c>
      <c r="BL40" s="53">
        <f t="shared" si="135"/>
        <v>0.58877006634928863</v>
      </c>
      <c r="BM40" s="53">
        <f t="shared" si="136"/>
        <v>0.70548930755877881</v>
      </c>
      <c r="BN40" s="53">
        <f t="shared" si="137"/>
        <v>1.175335357384794</v>
      </c>
      <c r="BO40" s="53">
        <f t="shared" si="138"/>
        <v>0.719879701898538</v>
      </c>
      <c r="BP40" s="53">
        <f t="shared" si="139"/>
        <v>0.62172124668785278</v>
      </c>
      <c r="BQ40" s="54">
        <f t="shared" si="140"/>
        <v>1573.3133231077461</v>
      </c>
      <c r="BR40" s="262">
        <f t="shared" si="141"/>
        <v>12.9298994900757</v>
      </c>
      <c r="BS40" s="54">
        <f t="shared" si="142"/>
        <v>1995.464802156434</v>
      </c>
      <c r="BU40" s="2">
        <f t="shared" si="37"/>
        <v>0.79208381684246987</v>
      </c>
      <c r="BV40" s="2">
        <f t="shared" si="38"/>
        <v>2.9724655819774715E-3</v>
      </c>
      <c r="BW40" s="2">
        <f t="shared" si="39"/>
        <v>8.77795213809337E-2</v>
      </c>
      <c r="BX40" s="2">
        <f t="shared" si="40"/>
        <v>0.16473551952415047</v>
      </c>
      <c r="BY40" s="2">
        <f t="shared" si="41"/>
        <v>3.7003101212292082E-3</v>
      </c>
      <c r="BZ40" s="2">
        <f t="shared" si="42"/>
        <v>0.68766395052839235</v>
      </c>
      <c r="CA40" s="2">
        <f t="shared" si="43"/>
        <v>0.11367689015691869</v>
      </c>
      <c r="CB40" s="2">
        <f t="shared" si="44"/>
        <v>1.9764440141981286E-2</v>
      </c>
      <c r="CC40" s="2">
        <f t="shared" si="45"/>
        <v>4.7770700636942673E-3</v>
      </c>
      <c r="CD40" s="2">
        <f t="shared" si="46"/>
        <v>7.0728337390617794E-3</v>
      </c>
      <c r="CE40" s="2">
        <f t="shared" si="47"/>
        <v>1.7613075947583488E-4</v>
      </c>
      <c r="CF40" s="2">
        <f t="shared" ref="CF40" si="280">SUM(BU40:CE40)</f>
        <v>1.8844029488402849</v>
      </c>
      <c r="CG40" s="2">
        <f t="shared" ref="CG40" si="281">BU40/$CF40</f>
        <v>0.42033675299114809</v>
      </c>
      <c r="CH40" s="2">
        <f t="shared" ref="CH40" si="282">BV40/$CF40</f>
        <v>1.5774044419781933E-3</v>
      </c>
      <c r="CI40" s="2">
        <f t="shared" ref="CI40" si="283">BW40/$CF40</f>
        <v>4.65821396824685E-2</v>
      </c>
      <c r="CJ40" s="2">
        <f t="shared" ref="CJ40" si="284">BX40/$CF40</f>
        <v>8.7420537961656969E-2</v>
      </c>
      <c r="CK40" s="2">
        <f t="shared" ref="CK40" si="285">BY40/$CF40</f>
        <v>1.96365120501774E-3</v>
      </c>
      <c r="CL40" s="2">
        <f t="shared" ref="CL40" si="286">BZ40/$CF40</f>
        <v>0.36492404713737064</v>
      </c>
      <c r="CM40" s="2">
        <f t="shared" ref="CM40" si="287">CA40/$CF40</f>
        <v>6.0325149791810015E-2</v>
      </c>
      <c r="CN40" s="2">
        <f t="shared" ref="CN40" si="288">CB40/$CF40</f>
        <v>1.0488436220153913E-2</v>
      </c>
      <c r="CO40" s="2">
        <f t="shared" ref="CO40" si="289">CC40/$CF40</f>
        <v>2.53505762482181E-3</v>
      </c>
      <c r="CP40" s="2">
        <f t="shared" ref="CP40" si="290">CD40/CF40</f>
        <v>3.7533552701212881E-3</v>
      </c>
      <c r="CQ40" s="2">
        <f t="shared" ref="CQ40" si="291">CE40/CF40</f>
        <v>9.3467673452873103E-5</v>
      </c>
      <c r="CR40" s="2"/>
      <c r="CS40" s="2">
        <f t="shared" ca="1" si="52"/>
        <v>0.69090362544146555</v>
      </c>
      <c r="CT40" s="2">
        <f t="shared" ca="1" si="53"/>
        <v>8.8864595020431703E-2</v>
      </c>
      <c r="CU40" s="2">
        <f t="shared" ca="1" si="54"/>
        <v>1.2929426558624997</v>
      </c>
      <c r="CV40" s="2">
        <f t="shared" ref="CV40" ca="1" si="292">SUM(CS40:CU40)</f>
        <v>2.0727108763243969</v>
      </c>
      <c r="CW40" s="2">
        <f t="shared" ref="CW40" ca="1" si="293">CS40/$CV40</f>
        <v>0.33333333333333331</v>
      </c>
      <c r="CX40" s="2">
        <f t="shared" ref="CX40" ca="1" si="294">CT40/$CV40</f>
        <v>4.2873608681022642E-2</v>
      </c>
      <c r="CY40" s="2">
        <f t="shared" ref="CY40" ca="1" si="295">CU40/$CV40</f>
        <v>0.62379305798564411</v>
      </c>
      <c r="CZ40" s="2">
        <f t="shared" ref="CZ40" si="296">CL40+CJ40+CM40+CK40</f>
        <v>0.51463338609585541</v>
      </c>
      <c r="DA40" s="2">
        <f t="shared" ref="DA40" si="297">CG40</f>
        <v>0.42033675299114809</v>
      </c>
      <c r="DB40" s="2">
        <f t="shared" ref="DB40" si="298">(7/2)*LN(1-CI40)+7*LN(1-CH40)</f>
        <v>-0.17800755982282515</v>
      </c>
      <c r="DC40" s="2"/>
      <c r="DD40" s="2">
        <f t="shared" ref="DD40" si="299">(DE40/DF40)-273.15</f>
        <v>1821.0068753722458</v>
      </c>
      <c r="DE40" s="2">
        <f t="shared" ref="DE40" si="300">113.1*1000/8.3144+(DL40*10^9-10^5)*4.11*(10^-6)/8.3144</f>
        <v>15580.148778023671</v>
      </c>
      <c r="DF40" s="2">
        <f t="shared" si="64"/>
        <v>7.4398193188149913</v>
      </c>
      <c r="DG40" s="2">
        <f t="shared" ref="DG40" si="301">DI40/DJ40</f>
        <v>1828.3919567214389</v>
      </c>
      <c r="DH40" s="2">
        <f t="shared" ref="DH40" si="302">DG40-273.15</f>
        <v>1555.2419567214388</v>
      </c>
      <c r="DI40" s="2">
        <f t="shared" si="143"/>
        <v>13602.905801982104</v>
      </c>
      <c r="DJ40" s="2">
        <f t="shared" si="67"/>
        <v>7.4398193188149913</v>
      </c>
      <c r="DK40" s="2">
        <f t="shared" ref="DK40" si="303">DI40/DJ40</f>
        <v>1828.3919567214389</v>
      </c>
      <c r="DL40" s="2">
        <f t="shared" si="69"/>
        <v>4</v>
      </c>
      <c r="DM40" s="2">
        <f t="shared" ref="DM40" si="304">(7/2)*LN(1-CI40)+7*LN(1-CH40)</f>
        <v>-0.17800755982282515</v>
      </c>
      <c r="DN40" s="2">
        <f t="shared" ref="DN40" si="305">CL40+CJ40+CK40+CM40</f>
        <v>0.51463338609585541</v>
      </c>
      <c r="DO40" s="2">
        <f t="shared" ref="DO40" si="306">CG40</f>
        <v>0.42033675299114809</v>
      </c>
      <c r="DP40" s="2">
        <f t="shared" ref="DP40" si="307">(0.666-(-0.049*CK40+0.027*CJ40))/(CL40+0.259*CK40+0.299*CJ40)</f>
        <v>1.6950571697749834</v>
      </c>
      <c r="DQ40" s="2">
        <f t="shared" si="74"/>
        <v>15580.199999999995</v>
      </c>
      <c r="DR40" s="2">
        <f t="shared" ref="DR40" si="308">6.26+2*LN(DP40)+2*LN(1.5*DN40)+2*LN(3*DO40)-DM40</f>
        <v>7.4395960916428558</v>
      </c>
      <c r="DS40" s="2">
        <f t="shared" ref="DS40" si="309">(DQ40/DR40)-273.15</f>
        <v>1821.0765961860143</v>
      </c>
      <c r="DT40" s="2">
        <f t="shared" ref="DT40" si="310">(13603+4.943*10^-7*(0.0001*10^9-10^-5))/(6.26+2*LN(DP40)+2*LN(1.5*DN40)+2*LN(3*DO40)-DM40)-273.15</f>
        <v>1555.3161240253016</v>
      </c>
      <c r="DU40" s="2">
        <f t="shared" ref="DU40" si="311">DT40+54*DL40-2*DL40^2</f>
        <v>1739.3161240253016</v>
      </c>
      <c r="DV40" s="9">
        <f t="shared" ref="DV40" ca="1" si="312">CY40/CL40</f>
        <v>1.7093777811546242</v>
      </c>
      <c r="DW40" s="2">
        <f t="shared" ca="1" si="80"/>
        <v>2.6512913086277625</v>
      </c>
      <c r="DX40" s="2">
        <f t="shared" ref="DX40" si="313">55.09*DL40+4430</f>
        <v>4650.3599999999997</v>
      </c>
      <c r="DY40" s="2">
        <f t="shared" ref="DY40" ca="1" si="314">DX40/DW40</f>
        <v>1753.9981309737336</v>
      </c>
      <c r="DZ40" s="2">
        <f t="shared" ref="DZ40" ca="1" si="315">CY40/(CL40*CG40^0.5)</f>
        <v>2.6365703999871961</v>
      </c>
      <c r="EA40" s="2"/>
      <c r="EB40" s="2">
        <f t="shared" si="83"/>
        <v>0.79208381684246987</v>
      </c>
      <c r="EC40" s="2">
        <f t="shared" si="84"/>
        <v>2.9724655819774715E-3</v>
      </c>
      <c r="ED40" s="2">
        <f t="shared" si="85"/>
        <v>4.388976069046685E-2</v>
      </c>
      <c r="EE40" s="2">
        <f t="shared" si="86"/>
        <v>0.16473551952415047</v>
      </c>
      <c r="EF40" s="2">
        <f t="shared" si="87"/>
        <v>3.7003101212292082E-3</v>
      </c>
      <c r="EG40" s="2">
        <f t="shared" si="88"/>
        <v>0.68766395052839235</v>
      </c>
      <c r="EH40" s="2">
        <f t="shared" si="89"/>
        <v>0.11367689015691869</v>
      </c>
      <c r="EI40" s="2">
        <f t="shared" si="90"/>
        <v>9.8822200709906428E-3</v>
      </c>
      <c r="EJ40" s="2">
        <f t="shared" si="91"/>
        <v>2.3885350318471337E-3</v>
      </c>
      <c r="EK40" s="2">
        <f t="shared" si="92"/>
        <v>3.5364168695308897E-3</v>
      </c>
      <c r="EL40" s="2">
        <f t="shared" si="93"/>
        <v>8.8065379737917439E-5</v>
      </c>
      <c r="EM40" s="2">
        <f t="shared" ref="EM40" si="316">SUM(EB40:EL40)</f>
        <v>1.8246179507977116</v>
      </c>
      <c r="EN40" s="2">
        <f t="shared" ref="EN40" si="317">EB40/$EM40</f>
        <v>0.434109407120639</v>
      </c>
      <c r="EO40" s="2">
        <f t="shared" ref="EO40" si="318">EC40/$EM40</f>
        <v>1.6290893009563608E-3</v>
      </c>
      <c r="EP40" s="2">
        <f t="shared" ref="EP40" si="319">ED40/$EM40</f>
        <v>2.4054219499089396E-2</v>
      </c>
      <c r="EQ40" s="2">
        <f t="shared" ref="EQ40" si="320">EE40/$EM40</f>
        <v>9.0284938527612935E-2</v>
      </c>
      <c r="ER40" s="2">
        <f t="shared" ref="ER40" si="321">EF40/$EM40</f>
        <v>2.027991733618238E-3</v>
      </c>
      <c r="ES40" s="2">
        <f t="shared" ref="ES40" si="322">EG40/$EM40</f>
        <v>0.37688106171911218</v>
      </c>
      <c r="ET40" s="2">
        <f t="shared" ref="ET40" si="323">EH40/$EM40</f>
        <v>6.230174930988696E-2</v>
      </c>
      <c r="EU40" s="2">
        <f t="shared" ref="EU40" si="324">EI40/$EM40</f>
        <v>5.4160489140590764E-3</v>
      </c>
      <c r="EV40" s="2">
        <f t="shared" ref="EV40" si="325">EJ40/$EM40</f>
        <v>1.3090603601717723E-3</v>
      </c>
      <c r="EW40" s="2">
        <f t="shared" ref="EW40" si="326">EK40/$EM40</f>
        <v>1.938168408342574E-3</v>
      </c>
      <c r="EX40" s="2">
        <f t="shared" ref="EX40" si="327">EL40/$EM40</f>
        <v>4.8265106511429315E-5</v>
      </c>
      <c r="EY40" s="2">
        <f t="shared" ref="EY40" si="328">SUM(EN40:EX40)</f>
        <v>1</v>
      </c>
      <c r="EZ40" s="2">
        <f t="shared" si="97"/>
        <v>4.65821396824685E-2</v>
      </c>
      <c r="FA40" s="2">
        <f t="shared" si="98"/>
        <v>0.46849629711559476</v>
      </c>
      <c r="FB40" s="2">
        <f t="shared" si="99"/>
        <v>1.4407103594971129</v>
      </c>
      <c r="FC40" s="2">
        <f t="shared" ref="FC40" si="329">(2*FB40-4*FA40)</f>
        <v>1.0074355305318468</v>
      </c>
      <c r="FD40" s="2">
        <f t="shared" ref="FD40" si="330">FC40/FA40</f>
        <v>2.1503596436820427</v>
      </c>
      <c r="FE40" s="2">
        <f t="shared" ca="1" si="102"/>
        <v>0.12863326187755478</v>
      </c>
      <c r="FF40" s="2">
        <f t="shared" ca="1" si="103"/>
        <v>0.12863326187755478</v>
      </c>
      <c r="FG40" s="2">
        <f t="shared" ca="1" si="104"/>
        <v>0.22407232869149332</v>
      </c>
      <c r="FH40" s="2">
        <f t="shared" ca="1" si="105"/>
        <v>-1.3047195284750976</v>
      </c>
      <c r="FI40" s="2">
        <f t="shared" ca="1" si="106"/>
        <v>9.2372189363116117E-3</v>
      </c>
      <c r="FJ40" s="2">
        <f t="shared" ca="1" si="107"/>
        <v>7.1810500654989715E-2</v>
      </c>
      <c r="FK40" s="2">
        <f t="shared" ca="1" si="108"/>
        <v>0.19053889396148477</v>
      </c>
      <c r="FL40" s="2">
        <f t="shared" ca="1" si="109"/>
        <v>6.8730499854343249E-2</v>
      </c>
      <c r="FM40" s="2">
        <f t="shared" ref="FM40" ca="1" si="331">FL40/FK40</f>
        <v>0.36071637882098928</v>
      </c>
      <c r="FN40" s="2">
        <f t="shared" ref="FN40" ca="1" si="332">FQ40/FP40</f>
        <v>6.8730499854343249E-2</v>
      </c>
      <c r="FO40" s="2">
        <f t="shared" ca="1" si="110"/>
        <v>6.873049985434318E-2</v>
      </c>
      <c r="FP40" s="2">
        <f t="shared" ref="FP40" ca="1" si="333">2/(1+FO40)</f>
        <v>1.8713791739569321</v>
      </c>
      <c r="FQ40" s="2">
        <f t="shared" ref="FQ40" ca="1" si="334">2-FP40</f>
        <v>0.1286208260430679</v>
      </c>
      <c r="FR40" s="2">
        <f t="shared" si="148"/>
        <v>0.33333333333333331</v>
      </c>
      <c r="FS40" s="2">
        <f t="shared" ref="FS40" ca="1" si="335">FQ40/3</f>
        <v>4.2873608681022635E-2</v>
      </c>
      <c r="FT40" s="2">
        <f t="shared" ref="FT40" ca="1" si="336">FP40/3</f>
        <v>0.62379305798564399</v>
      </c>
      <c r="FU40" s="2">
        <f t="shared" ref="FU40" si="337">60.08*FR40</f>
        <v>20.026666666666664</v>
      </c>
      <c r="FV40" s="2">
        <f t="shared" ref="FV40" ca="1" si="338">71.85*FS40</f>
        <v>3.0804687837314759</v>
      </c>
      <c r="FW40" s="2">
        <f t="shared" ref="FW40" ca="1" si="339">40.3*FT40</f>
        <v>25.138860236821451</v>
      </c>
      <c r="FX40" s="2">
        <f t="shared" ref="FX40" ca="1" si="340">SUM(FU40:FW40)</f>
        <v>48.24599568721959</v>
      </c>
      <c r="FY40" s="2">
        <f t="shared" ref="FY40" ca="1" si="341">100*FU40/$FX40</f>
        <v>41.509489816523249</v>
      </c>
      <c r="FZ40" s="2">
        <f t="shared" ref="FZ40" ca="1" si="342">100*FV40/$FX40</f>
        <v>6.3849211522180171</v>
      </c>
      <c r="GA40" s="2">
        <f t="shared" ref="GA40" ca="1" si="343">100*FW40/$FX40</f>
        <v>52.105589031258731</v>
      </c>
      <c r="GB40" s="2">
        <f t="shared" ref="GB40" ca="1" si="344">100*GA40/40.3/(GA40/40.3+FZ40/71.85)</f>
        <v>93.568958697846611</v>
      </c>
      <c r="GC40" s="2">
        <f t="shared" ref="GC40" si="345">S40*10^9</f>
        <v>4000000000</v>
      </c>
      <c r="GD40" s="2">
        <f t="shared" si="149"/>
        <v>38</v>
      </c>
      <c r="GE40">
        <f t="shared" si="150"/>
        <v>1570.0092115999998</v>
      </c>
      <c r="GF40">
        <f t="shared" si="151"/>
        <v>1569.9359999999999</v>
      </c>
      <c r="GG40">
        <f t="shared" si="152"/>
        <v>1874.2760000000003</v>
      </c>
      <c r="GH40" s="2">
        <f t="shared" si="153"/>
        <v>0.55630530564972946</v>
      </c>
      <c r="GI40" s="2">
        <f t="shared" si="154"/>
        <v>0.98699999999999988</v>
      </c>
      <c r="GJ40" s="2">
        <f t="shared" si="155"/>
        <v>-1.1860000000000004</v>
      </c>
      <c r="GK40" s="2">
        <f t="shared" si="156"/>
        <v>1.2039999999999997</v>
      </c>
      <c r="GL40" s="2">
        <f t="shared" si="157"/>
        <v>-0.55630530564972946</v>
      </c>
      <c r="GM40">
        <f t="shared" si="158"/>
        <v>0.32834994462901457</v>
      </c>
      <c r="GN40">
        <f t="shared" si="159"/>
        <v>3.5400617873621851E-2</v>
      </c>
      <c r="GO40">
        <f t="shared" si="160"/>
        <v>-0.13458529707177633</v>
      </c>
      <c r="GP40">
        <f t="shared" si="161"/>
        <v>-0.23102379802729633</v>
      </c>
      <c r="GQ40">
        <f t="shared" si="162"/>
        <v>0.27325581395348841</v>
      </c>
      <c r="GR40">
        <f t="shared" si="163"/>
        <v>0.10781368613787694</v>
      </c>
      <c r="GS40">
        <f t="shared" si="164"/>
        <v>0.13183911882914184</v>
      </c>
      <c r="GT40">
        <f t="shared" si="165"/>
        <v>4.5283326368835289E-3</v>
      </c>
      <c r="GU40">
        <f t="shared" si="166"/>
        <v>0.65410343099024582</v>
      </c>
      <c r="GV40">
        <f t="shared" si="167"/>
        <v>-0.25292961323433055</v>
      </c>
      <c r="GW40">
        <f t="shared" si="168"/>
        <v>0.72952376238492977</v>
      </c>
      <c r="GX40" s="2"/>
      <c r="GY40" s="15">
        <f t="shared" si="169"/>
        <v>0.22010510586386448</v>
      </c>
      <c r="GZ40" s="2">
        <f t="shared" si="170"/>
        <v>2.7621477208388333E-2</v>
      </c>
      <c r="HA40" s="2">
        <f t="shared" si="171"/>
        <v>7.6815446469743684E-2</v>
      </c>
      <c r="HB40" s="2">
        <f t="shared" si="172"/>
        <v>0.32454202954199651</v>
      </c>
      <c r="HC40" s="2">
        <f t="shared" si="173"/>
        <v>0.67820216128704014</v>
      </c>
      <c r="HD40" s="2">
        <f t="shared" si="174"/>
        <v>8.5109091255048203E-2</v>
      </c>
      <c r="HE40" s="2">
        <f t="shared" si="175"/>
        <v>0.23668874745791155</v>
      </c>
      <c r="HF40" s="2">
        <f t="shared" si="176"/>
        <v>-1.2882270431787481</v>
      </c>
      <c r="HG40" s="2">
        <f t="shared" si="177"/>
        <v>-1.2898794576557395</v>
      </c>
      <c r="HH40" s="2">
        <f t="shared" si="178"/>
        <v>-1.2890532504172438</v>
      </c>
      <c r="HI40" s="2">
        <f t="shared" si="179"/>
        <v>2.6171830246674452</v>
      </c>
      <c r="HJ40" s="2">
        <f t="shared" si="180"/>
        <v>0.15866795143968915</v>
      </c>
      <c r="HK40" s="2">
        <f t="shared" si="181"/>
        <v>0.35416053979779227</v>
      </c>
      <c r="HL40" s="2">
        <f t="shared" si="182"/>
        <v>0.67757963713306979</v>
      </c>
    </row>
  </sheetData>
  <phoneticPr fontId="23"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topLeftCell="A10" workbookViewId="0"/>
  </sheetViews>
  <sheetFormatPr defaultColWidth="10.6640625" defaultRowHeight="15"/>
  <cols>
    <col min="1" max="1" width="42.6640625" style="150" customWidth="1"/>
    <col min="2" max="2" width="12.88671875" style="150" customWidth="1"/>
    <col min="3" max="3" width="12.44140625" style="150" customWidth="1"/>
    <col min="4" max="4" width="8.44140625" style="150" customWidth="1"/>
    <col min="5" max="5" width="7.109375" style="150" customWidth="1"/>
    <col min="6" max="6" width="11.33203125" style="151" customWidth="1"/>
    <col min="7" max="7" width="7.33203125" style="151" customWidth="1"/>
    <col min="8" max="8" width="12.33203125" style="151" customWidth="1"/>
    <col min="9" max="10" width="7.33203125" style="151" customWidth="1"/>
    <col min="11" max="11" width="7.88671875" style="151" customWidth="1"/>
    <col min="12" max="14" width="7.33203125" style="151" customWidth="1"/>
    <col min="15" max="15" width="11.44140625" style="151" customWidth="1"/>
    <col min="16" max="16" width="15.88671875" style="151" customWidth="1"/>
    <col min="17" max="22" width="8.88671875" style="151" customWidth="1"/>
    <col min="23" max="23" width="13" style="151" customWidth="1"/>
    <col min="24" max="25" width="6.6640625" style="150" customWidth="1"/>
    <col min="26" max="26" width="6" customWidth="1"/>
    <col min="27" max="27" width="9.44140625" customWidth="1"/>
    <col min="28" max="28" width="8" customWidth="1"/>
    <col min="29" max="29" width="10.44140625" customWidth="1"/>
    <col min="30" max="31" width="6.44140625" customWidth="1"/>
    <col min="32" max="32" width="6.5546875" customWidth="1"/>
    <col min="33" max="33" width="11.5546875"/>
    <col min="34" max="34" width="8.6640625" customWidth="1"/>
    <col min="35" max="37" width="11.5546875" customWidth="1"/>
    <col min="38" max="16384" width="10.6640625" style="150"/>
  </cols>
  <sheetData>
    <row r="1" spans="1:37" ht="27.75">
      <c r="A1" s="204" t="s">
        <v>234</v>
      </c>
      <c r="B1" s="138"/>
      <c r="F1"/>
      <c r="G1"/>
      <c r="H1"/>
      <c r="I1"/>
      <c r="J1"/>
      <c r="K1"/>
      <c r="L1"/>
      <c r="M1"/>
      <c r="N1"/>
      <c r="V1" s="150"/>
      <c r="W1" s="150"/>
      <c r="Z1" s="150"/>
      <c r="AA1" s="150"/>
      <c r="AB1" s="150"/>
      <c r="AC1" s="150"/>
      <c r="AD1" s="150"/>
      <c r="AE1" s="150"/>
      <c r="AF1" s="150"/>
      <c r="AG1" s="150"/>
      <c r="AH1" s="150"/>
      <c r="AI1" s="150"/>
      <c r="AJ1" s="150"/>
      <c r="AK1" s="150"/>
    </row>
    <row r="2" spans="1:37" ht="17.100000000000001" customHeight="1">
      <c r="A2" s="138"/>
      <c r="B2" s="138"/>
      <c r="F2"/>
      <c r="G2"/>
      <c r="H2"/>
      <c r="I2"/>
      <c r="J2"/>
      <c r="K2"/>
      <c r="L2"/>
      <c r="M2"/>
      <c r="N2"/>
      <c r="V2" s="150"/>
      <c r="W2" s="150"/>
      <c r="Z2" s="150"/>
      <c r="AA2" s="150"/>
      <c r="AB2" s="150"/>
      <c r="AC2" s="150"/>
      <c r="AD2" s="150"/>
      <c r="AE2" s="150"/>
      <c r="AF2" s="150"/>
      <c r="AG2" s="150"/>
      <c r="AH2" s="150"/>
      <c r="AI2" s="150"/>
      <c r="AJ2" s="150"/>
      <c r="AK2" s="150"/>
    </row>
    <row r="3" spans="1:37" ht="23.25">
      <c r="A3" s="199" t="s">
        <v>181</v>
      </c>
      <c r="B3" s="138"/>
      <c r="F3"/>
      <c r="G3"/>
      <c r="H3"/>
      <c r="I3"/>
      <c r="J3"/>
      <c r="K3"/>
      <c r="L3"/>
      <c r="M3"/>
      <c r="N3"/>
      <c r="V3" s="150"/>
      <c r="W3" s="150"/>
      <c r="Z3" s="150"/>
      <c r="AA3" s="150"/>
      <c r="AB3" s="150"/>
      <c r="AC3" s="150"/>
      <c r="AD3" s="150"/>
      <c r="AE3" s="150"/>
      <c r="AF3" s="150"/>
      <c r="AG3" s="150"/>
      <c r="AH3" s="150"/>
      <c r="AI3" s="150"/>
      <c r="AJ3" s="150"/>
      <c r="AK3" s="150"/>
    </row>
    <row r="4" spans="1:37" ht="23.25">
      <c r="A4" s="242" t="s">
        <v>182</v>
      </c>
      <c r="B4" s="138"/>
      <c r="F4"/>
      <c r="G4"/>
      <c r="H4"/>
      <c r="I4"/>
      <c r="J4"/>
      <c r="K4"/>
      <c r="L4"/>
      <c r="M4"/>
      <c r="N4"/>
      <c r="V4" s="150"/>
      <c r="W4" s="150"/>
      <c r="Z4" s="150"/>
      <c r="AA4" s="150"/>
      <c r="AB4" s="150"/>
      <c r="AC4" s="150"/>
      <c r="AD4" s="150"/>
      <c r="AE4" s="150"/>
      <c r="AF4" s="150"/>
      <c r="AG4" s="150"/>
      <c r="AH4" s="150"/>
      <c r="AI4" s="150"/>
      <c r="AJ4" s="150"/>
      <c r="AK4" s="150"/>
    </row>
    <row r="5" spans="1:37" s="205" customFormat="1" ht="11.1" customHeight="1">
      <c r="A5" s="224"/>
      <c r="B5" s="225"/>
      <c r="F5" s="17"/>
      <c r="G5" s="17"/>
      <c r="H5" s="17"/>
      <c r="I5" s="17"/>
      <c r="J5" s="17"/>
      <c r="K5" s="17"/>
      <c r="L5" s="17"/>
      <c r="M5" s="17"/>
      <c r="N5" s="17"/>
      <c r="O5" s="193"/>
      <c r="P5" s="193"/>
      <c r="Q5" s="193"/>
      <c r="R5" s="193"/>
      <c r="S5" s="193"/>
      <c r="T5" s="193"/>
      <c r="U5" s="193"/>
    </row>
    <row r="6" spans="1:37" ht="23.25">
      <c r="A6" s="196" t="s">
        <v>227</v>
      </c>
      <c r="B6" s="197"/>
      <c r="C6" s="186"/>
      <c r="D6" s="186"/>
      <c r="E6" s="186"/>
      <c r="F6" s="186"/>
      <c r="G6" s="186"/>
      <c r="H6" s="186"/>
      <c r="I6" s="186"/>
      <c r="J6" s="186"/>
      <c r="K6" s="186"/>
      <c r="L6" s="186"/>
      <c r="M6" s="186"/>
      <c r="N6"/>
      <c r="V6" s="150"/>
      <c r="W6" s="150"/>
      <c r="Z6" s="150"/>
      <c r="AA6" s="150"/>
      <c r="AB6" s="150"/>
      <c r="AC6" s="150"/>
      <c r="AD6" s="150"/>
      <c r="AE6" s="150"/>
      <c r="AF6" s="150"/>
      <c r="AG6" s="150"/>
      <c r="AH6" s="150"/>
      <c r="AI6" s="150"/>
      <c r="AJ6" s="150"/>
      <c r="AK6" s="150"/>
    </row>
    <row r="7" spans="1:37" ht="23.25">
      <c r="A7" s="196" t="s">
        <v>229</v>
      </c>
      <c r="B7" s="197"/>
      <c r="C7" s="186"/>
      <c r="D7" s="186"/>
      <c r="E7" s="186"/>
      <c r="F7" s="198"/>
      <c r="G7" s="198"/>
      <c r="H7" s="198"/>
      <c r="I7" s="198"/>
      <c r="J7" s="198"/>
      <c r="K7" s="198"/>
      <c r="L7" s="198"/>
      <c r="M7" s="198"/>
      <c r="N7"/>
      <c r="V7" s="150"/>
      <c r="W7" s="150"/>
      <c r="Z7" s="150"/>
      <c r="AA7" s="150"/>
      <c r="AB7" s="150"/>
      <c r="AC7" s="150"/>
      <c r="AD7" s="150"/>
      <c r="AE7" s="150"/>
      <c r="AF7" s="150"/>
      <c r="AG7" s="150"/>
      <c r="AH7" s="150"/>
      <c r="AI7" s="150"/>
      <c r="AJ7" s="150"/>
      <c r="AK7" s="150"/>
    </row>
    <row r="8" spans="1:37" ht="26.25">
      <c r="A8" s="196" t="s">
        <v>230</v>
      </c>
      <c r="B8" s="197"/>
      <c r="C8" s="186"/>
      <c r="D8" s="186"/>
      <c r="E8" s="186"/>
      <c r="F8" s="198"/>
      <c r="G8" s="198"/>
      <c r="H8" s="198"/>
      <c r="I8" s="198"/>
      <c r="J8" s="198"/>
      <c r="K8" s="198"/>
      <c r="L8" s="198"/>
      <c r="M8" s="198"/>
      <c r="N8"/>
      <c r="V8" s="150"/>
      <c r="W8" s="150"/>
      <c r="Z8" s="150"/>
      <c r="AA8" s="150"/>
      <c r="AB8" s="150"/>
      <c r="AC8" s="150"/>
      <c r="AD8" s="150"/>
      <c r="AE8" s="150"/>
      <c r="AF8" s="150"/>
      <c r="AG8" s="150"/>
      <c r="AH8" s="150"/>
      <c r="AI8" s="150"/>
      <c r="AJ8" s="150"/>
      <c r="AK8" s="150"/>
    </row>
    <row r="9" spans="1:37" ht="23.25">
      <c r="A9" s="196" t="s">
        <v>231</v>
      </c>
      <c r="B9" s="197"/>
      <c r="C9" s="186"/>
      <c r="D9" s="186"/>
      <c r="E9" s="186"/>
      <c r="F9" s="198"/>
      <c r="G9" s="198"/>
      <c r="H9" s="198"/>
      <c r="I9" s="198"/>
      <c r="J9" s="198"/>
      <c r="K9" s="198"/>
      <c r="L9" s="198"/>
      <c r="M9" s="198"/>
      <c r="N9"/>
      <c r="Q9" s="152" t="s">
        <v>183</v>
      </c>
      <c r="R9" s="153" t="s">
        <v>53</v>
      </c>
      <c r="S9" s="154">
        <v>71.849999999999994</v>
      </c>
      <c r="V9" s="150"/>
      <c r="W9" s="150"/>
      <c r="Z9" s="150"/>
      <c r="AA9" s="150"/>
      <c r="AB9" s="150"/>
      <c r="AC9" s="150"/>
      <c r="AD9" s="150"/>
      <c r="AE9" s="150"/>
      <c r="AF9" s="150"/>
      <c r="AG9" s="150"/>
      <c r="AH9" s="150"/>
      <c r="AI9" s="150"/>
      <c r="AJ9" s="150"/>
      <c r="AK9" s="150"/>
    </row>
    <row r="10" spans="1:37" ht="23.25">
      <c r="A10" s="196" t="s">
        <v>232</v>
      </c>
      <c r="B10" s="197"/>
      <c r="C10" s="186"/>
      <c r="D10" s="186"/>
      <c r="E10" s="186"/>
      <c r="F10" s="198"/>
      <c r="G10" s="198"/>
      <c r="H10" s="198"/>
      <c r="I10" s="198"/>
      <c r="J10" s="198"/>
      <c r="K10" s="198"/>
      <c r="L10" s="198"/>
      <c r="M10" s="198"/>
      <c r="N10"/>
      <c r="Q10" s="156" t="s">
        <v>185</v>
      </c>
      <c r="R10" s="157" t="s">
        <v>46</v>
      </c>
      <c r="S10" s="158">
        <v>40.299999999999997</v>
      </c>
      <c r="V10" s="150"/>
      <c r="W10" s="150"/>
      <c r="Z10" s="150"/>
      <c r="AA10" s="150"/>
      <c r="AB10" s="150"/>
      <c r="AC10" s="150"/>
      <c r="AD10" s="150"/>
      <c r="AE10" s="150"/>
      <c r="AF10" s="150"/>
      <c r="AG10" s="150"/>
      <c r="AH10" s="150"/>
      <c r="AI10" s="150"/>
      <c r="AJ10" s="150"/>
      <c r="AK10" s="150"/>
    </row>
    <row r="11" spans="1:37" ht="22.5">
      <c r="A11" s="241" t="s">
        <v>235</v>
      </c>
      <c r="B11" s="188"/>
      <c r="C11" s="188"/>
      <c r="D11" s="188"/>
      <c r="E11" s="188"/>
      <c r="F11" s="190"/>
      <c r="G11" s="190"/>
      <c r="H11" s="190"/>
      <c r="I11" s="190"/>
      <c r="J11" s="190"/>
      <c r="K11" s="190"/>
      <c r="L11" s="190"/>
      <c r="M11" s="190"/>
      <c r="N11"/>
      <c r="Q11" s="159" t="s">
        <v>186</v>
      </c>
      <c r="R11" s="160"/>
      <c r="S11" s="161">
        <f>S10/S9</f>
        <v>0.56089074460681976</v>
      </c>
      <c r="V11" s="150"/>
      <c r="W11" s="150"/>
      <c r="Z11" s="150"/>
      <c r="AA11" s="150"/>
      <c r="AB11" s="150"/>
      <c r="AC11" s="150"/>
      <c r="AD11" s="150"/>
      <c r="AE11" s="150"/>
      <c r="AF11" s="150"/>
      <c r="AG11" s="150"/>
      <c r="AH11" s="150"/>
      <c r="AI11" s="150"/>
      <c r="AJ11" s="150"/>
      <c r="AK11" s="150"/>
    </row>
    <row r="12" spans="1:37" ht="15.75" thickBot="1">
      <c r="F12"/>
      <c r="G12"/>
      <c r="H12"/>
      <c r="I12"/>
      <c r="J12"/>
      <c r="K12"/>
      <c r="L12"/>
      <c r="M12"/>
      <c r="N12"/>
      <c r="V12" s="150"/>
      <c r="W12" s="150"/>
      <c r="Z12" s="150"/>
      <c r="AA12" s="150"/>
      <c r="AB12" s="150"/>
      <c r="AC12" s="150"/>
      <c r="AD12" s="150"/>
      <c r="AE12" s="150"/>
      <c r="AF12" s="150"/>
      <c r="AG12" s="150"/>
      <c r="AH12" s="150"/>
      <c r="AI12" s="150"/>
      <c r="AJ12" s="150"/>
      <c r="AK12" s="150"/>
    </row>
    <row r="13" spans="1:37" ht="21" thickTop="1">
      <c r="A13" s="200" t="s">
        <v>212</v>
      </c>
      <c r="B13" s="201"/>
      <c r="D13" s="210" t="s">
        <v>194</v>
      </c>
      <c r="E13" s="211"/>
      <c r="F13" s="211"/>
      <c r="G13" s="211"/>
      <c r="H13" s="211"/>
      <c r="I13" s="211"/>
      <c r="J13" s="211"/>
      <c r="K13" s="211"/>
      <c r="L13" s="211"/>
      <c r="M13" s="211"/>
      <c r="N13" s="212"/>
      <c r="O13" s="213"/>
      <c r="P13" s="150"/>
      <c r="Q13" s="226" t="s">
        <v>195</v>
      </c>
      <c r="R13" s="149"/>
      <c r="S13" s="149"/>
      <c r="T13" s="149"/>
      <c r="U13" s="149" t="s">
        <v>196</v>
      </c>
      <c r="V13" s="149"/>
      <c r="W13" s="149"/>
      <c r="X13" s="149"/>
      <c r="Y13" s="149"/>
      <c r="Z13" s="149"/>
      <c r="AA13" s="227"/>
      <c r="AB13" s="150"/>
      <c r="AC13" s="150"/>
      <c r="AD13" s="150"/>
      <c r="AE13" s="150"/>
      <c r="AF13" s="150"/>
      <c r="AG13" s="150"/>
      <c r="AH13" s="150"/>
      <c r="AI13" s="150"/>
      <c r="AJ13" s="150"/>
      <c r="AK13" s="150"/>
    </row>
    <row r="14" spans="1:37" ht="23.25">
      <c r="A14" s="155" t="s">
        <v>184</v>
      </c>
      <c r="B14" s="202">
        <v>89.9</v>
      </c>
      <c r="D14" s="219" t="s">
        <v>213</v>
      </c>
      <c r="E14" s="220" t="s">
        <v>214</v>
      </c>
      <c r="F14" s="220" t="s">
        <v>215</v>
      </c>
      <c r="G14" s="220" t="s">
        <v>53</v>
      </c>
      <c r="H14" s="220" t="s">
        <v>45</v>
      </c>
      <c r="I14" s="220" t="s">
        <v>46</v>
      </c>
      <c r="J14" s="220" t="s">
        <v>47</v>
      </c>
      <c r="K14" s="220" t="s">
        <v>216</v>
      </c>
      <c r="L14" s="220" t="s">
        <v>217</v>
      </c>
      <c r="M14" s="220" t="s">
        <v>218</v>
      </c>
      <c r="N14" s="220" t="s">
        <v>219</v>
      </c>
      <c r="O14" s="221" t="s">
        <v>207</v>
      </c>
      <c r="P14" s="150"/>
      <c r="Q14" s="228" t="s">
        <v>197</v>
      </c>
      <c r="R14" s="67" t="s">
        <v>198</v>
      </c>
      <c r="S14" s="67" t="s">
        <v>199</v>
      </c>
      <c r="T14" s="67" t="s">
        <v>200</v>
      </c>
      <c r="U14" s="67" t="s">
        <v>201</v>
      </c>
      <c r="V14" s="67" t="s">
        <v>202</v>
      </c>
      <c r="W14" s="67" t="s">
        <v>203</v>
      </c>
      <c r="X14" s="67" t="s">
        <v>204</v>
      </c>
      <c r="Y14" s="67" t="s">
        <v>205</v>
      </c>
      <c r="Z14" s="67" t="s">
        <v>206</v>
      </c>
      <c r="AA14" s="229" t="s">
        <v>207</v>
      </c>
      <c r="AB14" s="150"/>
      <c r="AC14" s="150"/>
      <c r="AD14" s="150"/>
      <c r="AE14" s="150"/>
      <c r="AF14" s="150"/>
      <c r="AG14" s="150"/>
      <c r="AH14" s="150"/>
      <c r="AI14" s="150"/>
      <c r="AJ14" s="150"/>
      <c r="AK14" s="150"/>
    </row>
    <row r="15" spans="1:37" ht="21" thickBot="1">
      <c r="A15" s="155" t="s">
        <v>226</v>
      </c>
      <c r="B15" s="202">
        <v>90.3</v>
      </c>
      <c r="D15" s="214">
        <v>41.17</v>
      </c>
      <c r="E15" s="215">
        <v>0.68100000000000005</v>
      </c>
      <c r="F15" s="215">
        <v>8.01</v>
      </c>
      <c r="G15" s="215">
        <v>10.017000000000001</v>
      </c>
      <c r="H15" s="215">
        <v>0.1295</v>
      </c>
      <c r="I15" s="215">
        <v>23.78</v>
      </c>
      <c r="J15" s="215">
        <v>7.1390000000000002</v>
      </c>
      <c r="K15" s="215">
        <v>0.85899999999999999</v>
      </c>
      <c r="L15" s="216">
        <v>0.20599999999999999</v>
      </c>
      <c r="M15" s="216"/>
      <c r="N15" s="216">
        <v>0.15310000000000001</v>
      </c>
      <c r="O15" s="217">
        <f>SUM(D15:N15)</f>
        <v>92.144599999999983</v>
      </c>
      <c r="P15" s="150"/>
      <c r="Q15" s="230">
        <f>1/B17</f>
        <v>0.11234705228031139</v>
      </c>
      <c r="R15" s="231">
        <f>2/(1+Q15)</f>
        <v>1.798</v>
      </c>
      <c r="S15" s="231">
        <f>2-R15</f>
        <v>0.20199999999999996</v>
      </c>
      <c r="T15" s="231">
        <v>1</v>
      </c>
      <c r="U15" s="231">
        <f>R15/3</f>
        <v>0.59933333333333338</v>
      </c>
      <c r="V15" s="231">
        <f>S15/3</f>
        <v>6.7333333333333314E-2</v>
      </c>
      <c r="W15" s="231">
        <f>T15/3</f>
        <v>0.33333333333333331</v>
      </c>
      <c r="X15" s="231">
        <f>R15*S10</f>
        <v>72.459400000000002</v>
      </c>
      <c r="Y15" s="231">
        <f>S15*S9</f>
        <v>14.513699999999996</v>
      </c>
      <c r="Z15" s="231">
        <f>T15*60.08</f>
        <v>60.08</v>
      </c>
      <c r="AA15" s="232">
        <f>Z15+Y15+X15</f>
        <v>147.0531</v>
      </c>
      <c r="AB15" s="150"/>
      <c r="AC15" s="150"/>
      <c r="AD15" s="150"/>
      <c r="AE15" s="150"/>
      <c r="AF15" s="150"/>
      <c r="AG15" s="150"/>
      <c r="AH15" s="150"/>
      <c r="AI15" s="150"/>
      <c r="AJ15" s="150"/>
      <c r="AK15" s="150"/>
    </row>
    <row r="16" spans="1:37" ht="25.5" thickTop="1" thickBot="1">
      <c r="A16" s="162" t="s">
        <v>187</v>
      </c>
      <c r="B16" s="203">
        <v>0.33</v>
      </c>
      <c r="D16"/>
      <c r="E16"/>
      <c r="F16"/>
      <c r="G16"/>
      <c r="H16"/>
      <c r="I16"/>
      <c r="J16"/>
      <c r="K16"/>
      <c r="L16"/>
      <c r="M16"/>
      <c r="N16"/>
      <c r="P16" s="150"/>
      <c r="Q16"/>
      <c r="R16"/>
      <c r="S16"/>
      <c r="T16"/>
      <c r="U16"/>
      <c r="V16"/>
      <c r="W16"/>
      <c r="X16"/>
      <c r="Y16"/>
      <c r="AA16" s="150"/>
      <c r="AB16" s="150"/>
      <c r="AC16" s="150"/>
      <c r="AD16" s="150"/>
      <c r="AE16" s="150"/>
      <c r="AF16" s="150"/>
      <c r="AG16" s="150"/>
      <c r="AH16" s="150"/>
      <c r="AI16" s="150"/>
      <c r="AJ16" s="150"/>
      <c r="AK16" s="150"/>
    </row>
    <row r="17" spans="1:39" ht="15.75">
      <c r="A17" s="163" t="s">
        <v>188</v>
      </c>
      <c r="B17" s="164">
        <f>1/(100/B14-1)</f>
        <v>8.9009900990099062</v>
      </c>
      <c r="F17" s="150"/>
      <c r="G17" s="150"/>
      <c r="H17" s="150"/>
      <c r="I17" s="150"/>
      <c r="J17" s="150"/>
      <c r="K17" s="150"/>
      <c r="L17" s="150"/>
      <c r="N17" s="150"/>
      <c r="O17" s="150"/>
      <c r="S17"/>
      <c r="T17"/>
      <c r="U17"/>
      <c r="V17"/>
      <c r="W17"/>
      <c r="X17"/>
      <c r="Y17"/>
      <c r="AA17" s="150"/>
      <c r="AB17" s="150"/>
      <c r="AC17" s="150"/>
      <c r="AD17" s="150"/>
      <c r="AE17" s="150"/>
      <c r="AF17" s="150"/>
      <c r="AG17" s="150"/>
      <c r="AH17" s="150"/>
      <c r="AI17" s="150"/>
      <c r="AJ17" s="150"/>
      <c r="AK17" s="150"/>
    </row>
    <row r="18" spans="1:39" ht="19.5">
      <c r="A18" s="166" t="s">
        <v>189</v>
      </c>
      <c r="B18" s="167">
        <f>1/(100/B15-1)</f>
        <v>9.3092783505154646</v>
      </c>
      <c r="D18" s="171" t="s">
        <v>220</v>
      </c>
      <c r="E18" s="172"/>
      <c r="F18" s="172"/>
      <c r="G18" s="172"/>
      <c r="H18" s="172"/>
      <c r="I18" s="172"/>
      <c r="J18" s="173"/>
      <c r="K18" s="173"/>
      <c r="L18" s="173"/>
      <c r="M18" s="173"/>
      <c r="N18" s="173"/>
      <c r="O18" s="150"/>
      <c r="P18" s="150"/>
      <c r="Q18" s="174" t="s">
        <v>208</v>
      </c>
      <c r="R18" s="175"/>
      <c r="S18" s="176"/>
      <c r="T18" s="150"/>
      <c r="U18" s="150"/>
      <c r="X18" s="151"/>
      <c r="Z18" s="150"/>
      <c r="AA18" s="150"/>
      <c r="AB18" s="150"/>
      <c r="AC18" s="150"/>
      <c r="AD18" s="150"/>
      <c r="AE18" s="150"/>
      <c r="AF18" s="150"/>
      <c r="AG18" s="150"/>
      <c r="AH18" s="150"/>
      <c r="AI18" s="150"/>
      <c r="AJ18" s="150"/>
      <c r="AK18" s="150"/>
    </row>
    <row r="19" spans="1:39" ht="15.75">
      <c r="A19" s="166" t="s">
        <v>190</v>
      </c>
      <c r="B19" s="167">
        <f>B18*$B$16</f>
        <v>3.0720618556701034</v>
      </c>
      <c r="D19" s="171" t="s">
        <v>221</v>
      </c>
      <c r="E19" s="172"/>
      <c r="F19" s="172"/>
      <c r="G19" s="172"/>
      <c r="H19" s="172"/>
      <c r="I19" s="172"/>
      <c r="J19" s="173"/>
      <c r="K19" s="173"/>
      <c r="L19" s="173"/>
      <c r="M19" s="173"/>
      <c r="N19" s="173"/>
      <c r="O19" s="150"/>
      <c r="Q19" s="178" t="s">
        <v>206</v>
      </c>
      <c r="R19" s="179" t="s">
        <v>209</v>
      </c>
      <c r="S19" s="180" t="s">
        <v>210</v>
      </c>
      <c r="T19" s="150"/>
      <c r="U19" s="150"/>
      <c r="V19" s="150"/>
      <c r="W19" s="150"/>
      <c r="X19" s="151"/>
      <c r="Z19" s="150"/>
    </row>
    <row r="20" spans="1:39" ht="15.75">
      <c r="A20" s="166" t="s">
        <v>191</v>
      </c>
      <c r="B20" s="167">
        <f>100*B19/(B19+1)</f>
        <v>75.442416263702881</v>
      </c>
      <c r="D20" s="189" t="s">
        <v>41</v>
      </c>
      <c r="E20" s="187" t="s">
        <v>42</v>
      </c>
      <c r="F20" s="187" t="s">
        <v>43</v>
      </c>
      <c r="G20" s="189" t="s">
        <v>53</v>
      </c>
      <c r="H20" s="187" t="s">
        <v>45</v>
      </c>
      <c r="I20" s="189" t="s">
        <v>46</v>
      </c>
      <c r="J20" s="187" t="s">
        <v>47</v>
      </c>
      <c r="K20" s="187" t="s">
        <v>48</v>
      </c>
      <c r="L20" s="187" t="s">
        <v>49</v>
      </c>
      <c r="M20" s="187" t="s">
        <v>50</v>
      </c>
      <c r="N20" s="187" t="s">
        <v>51</v>
      </c>
      <c r="O20" s="150"/>
      <c r="Q20" s="181">
        <f>100*Z15/AA15</f>
        <v>40.855990115135278</v>
      </c>
      <c r="R20" s="181">
        <f>100*X15/AA15</f>
        <v>49.274309756135715</v>
      </c>
      <c r="S20" s="181">
        <f>100*Y15/AA15</f>
        <v>9.8697001287290078</v>
      </c>
      <c r="T20" s="150"/>
      <c r="U20" s="165"/>
      <c r="V20" s="165"/>
      <c r="W20" s="165"/>
      <c r="X20" s="151"/>
      <c r="Z20" s="150"/>
      <c r="AA20" s="150"/>
      <c r="AB20" s="150"/>
      <c r="AC20" s="150"/>
      <c r="AD20" s="150"/>
      <c r="AE20" s="150"/>
      <c r="AF20" s="150"/>
      <c r="AG20" s="150"/>
      <c r="AH20" s="150"/>
      <c r="AI20" s="150"/>
      <c r="AJ20" s="150"/>
      <c r="AK20" s="150"/>
    </row>
    <row r="21" spans="1:39" ht="15.75">
      <c r="A21" s="166" t="s">
        <v>192</v>
      </c>
      <c r="B21" s="167">
        <f>B19*$S$11</f>
        <v>1.7230910617050128</v>
      </c>
      <c r="D21" s="236">
        <f>Q20</f>
        <v>40.855990115135278</v>
      </c>
      <c r="E21" s="233">
        <v>0</v>
      </c>
      <c r="F21" s="233">
        <v>0</v>
      </c>
      <c r="G21" s="236">
        <f>S20</f>
        <v>9.8697001287290078</v>
      </c>
      <c r="H21" s="233">
        <v>0</v>
      </c>
      <c r="I21" s="236">
        <f>R20</f>
        <v>49.274309756135715</v>
      </c>
      <c r="J21" s="233">
        <v>0.3</v>
      </c>
      <c r="K21" s="233">
        <v>0</v>
      </c>
      <c r="L21" s="187">
        <v>0</v>
      </c>
      <c r="M21" s="187">
        <v>0</v>
      </c>
      <c r="N21" s="187">
        <v>0</v>
      </c>
      <c r="O21" s="150"/>
      <c r="P21"/>
      <c r="Q21"/>
      <c r="R21"/>
      <c r="S21" s="182"/>
      <c r="T21" s="150"/>
      <c r="U21" s="165"/>
      <c r="V21" s="165"/>
      <c r="W21" s="165"/>
      <c r="X21" s="151"/>
      <c r="Z21" s="150"/>
      <c r="AA21" s="150"/>
      <c r="AB21" s="150"/>
      <c r="AC21" s="150"/>
      <c r="AD21" s="150"/>
      <c r="AE21" s="150"/>
      <c r="AF21" s="150"/>
      <c r="AG21" s="150"/>
      <c r="AH21" s="150"/>
      <c r="AI21" s="150"/>
      <c r="AJ21" s="150"/>
      <c r="AK21" s="150"/>
    </row>
    <row r="22" spans="1:39" ht="16.5" thickBot="1">
      <c r="A22" s="168" t="s">
        <v>193</v>
      </c>
      <c r="B22" s="169">
        <f>B21*T25</f>
        <v>17.324924993451337</v>
      </c>
      <c r="S22" s="165"/>
      <c r="T22" s="165"/>
      <c r="U22" s="165"/>
      <c r="V22" s="165"/>
      <c r="W22" s="165"/>
      <c r="X22" s="165"/>
      <c r="Y22" s="165"/>
      <c r="Z22" s="165"/>
      <c r="AA22" s="150"/>
      <c r="AB22" s="150"/>
      <c r="AC22" s="150"/>
      <c r="AD22" s="150"/>
      <c r="AE22" s="150"/>
      <c r="AF22" s="150"/>
      <c r="AG22" s="150"/>
      <c r="AH22" s="150"/>
      <c r="AI22" s="150"/>
      <c r="AJ22" s="150"/>
      <c r="AK22" s="150"/>
    </row>
    <row r="23" spans="1:39" ht="20.25">
      <c r="A23" s="170"/>
      <c r="B23" s="170"/>
      <c r="Q23" s="191" t="s">
        <v>222</v>
      </c>
      <c r="R23" s="191"/>
      <c r="S23" s="192"/>
      <c r="T23" s="192"/>
      <c r="U23" s="192"/>
      <c r="V23" s="192"/>
      <c r="W23" s="192"/>
      <c r="X23" s="192"/>
      <c r="Y23" s="192"/>
      <c r="Z23" s="192"/>
      <c r="AA23" s="192"/>
      <c r="AB23" s="192"/>
      <c r="AC23" s="150"/>
      <c r="AD23" s="150"/>
      <c r="AE23" s="150"/>
      <c r="AF23" s="150"/>
      <c r="AG23" s="150"/>
      <c r="AH23" s="150"/>
      <c r="AI23" s="150"/>
      <c r="AJ23" s="150"/>
      <c r="AK23" s="150"/>
    </row>
    <row r="24" spans="1:39" ht="21" thickBot="1">
      <c r="B24" s="151"/>
      <c r="D24" s="223" t="s">
        <v>223</v>
      </c>
      <c r="E24" s="222"/>
      <c r="F24" s="222"/>
      <c r="G24" s="218"/>
      <c r="H24" s="218"/>
      <c r="I24" s="218"/>
      <c r="J24" s="218"/>
      <c r="K24" s="218"/>
      <c r="L24" s="218"/>
      <c r="M24" s="218"/>
      <c r="N24" s="218"/>
      <c r="O24" s="218"/>
      <c r="Q24" s="192" t="s">
        <v>41</v>
      </c>
      <c r="R24" s="192" t="s">
        <v>42</v>
      </c>
      <c r="S24" s="192" t="s">
        <v>43</v>
      </c>
      <c r="T24" s="192" t="s">
        <v>53</v>
      </c>
      <c r="U24" s="192" t="s">
        <v>45</v>
      </c>
      <c r="V24" s="192" t="s">
        <v>46</v>
      </c>
      <c r="W24" s="192" t="s">
        <v>47</v>
      </c>
      <c r="X24" s="192" t="s">
        <v>48</v>
      </c>
      <c r="Y24" s="192" t="s">
        <v>49</v>
      </c>
      <c r="Z24" s="192" t="s">
        <v>50</v>
      </c>
      <c r="AA24" s="192" t="s">
        <v>51</v>
      </c>
      <c r="AB24" s="192" t="s">
        <v>207</v>
      </c>
      <c r="AL24"/>
      <c r="AM24"/>
    </row>
    <row r="25" spans="1:39" ht="21" thickTop="1">
      <c r="A25" s="206" t="s">
        <v>211</v>
      </c>
      <c r="B25" s="151"/>
      <c r="D25" s="194" t="s">
        <v>233</v>
      </c>
      <c r="E25" s="195"/>
      <c r="F25" s="195"/>
      <c r="G25" s="195"/>
      <c r="H25" s="195"/>
      <c r="I25" s="195"/>
      <c r="J25" s="195"/>
      <c r="K25" s="195"/>
      <c r="L25" s="195"/>
      <c r="M25" s="195"/>
      <c r="N25" s="195"/>
      <c r="O25" s="195"/>
      <c r="Q25" s="234">
        <f t="shared" ref="Q25:AA25" si="0">D15*(1-$A28)+$A28*D21</f>
        <v>41.250072520640501</v>
      </c>
      <c r="R25" s="234">
        <f t="shared" si="0"/>
        <v>0.85465499999999994</v>
      </c>
      <c r="S25" s="234">
        <f t="shared" si="0"/>
        <v>10.052549999999998</v>
      </c>
      <c r="T25" s="234">
        <f t="shared" si="0"/>
        <v>10.054561467174103</v>
      </c>
      <c r="U25" s="234">
        <f t="shared" si="0"/>
        <v>0.16252249999999999</v>
      </c>
      <c r="V25" s="234">
        <f t="shared" si="0"/>
        <v>17.278951012185388</v>
      </c>
      <c r="W25" s="234">
        <f t="shared" si="0"/>
        <v>8.8829449999999994</v>
      </c>
      <c r="X25" s="234">
        <f t="shared" si="0"/>
        <v>1.0780449999999999</v>
      </c>
      <c r="Y25" s="234">
        <f t="shared" si="0"/>
        <v>0.25852999999999998</v>
      </c>
      <c r="Z25" s="234">
        <f t="shared" si="0"/>
        <v>0</v>
      </c>
      <c r="AA25" s="234">
        <f t="shared" si="0"/>
        <v>0.19214049999999999</v>
      </c>
      <c r="AB25" s="234">
        <f>SUM(Q25:AA25)</f>
        <v>90.064972999999995</v>
      </c>
      <c r="AL25"/>
      <c r="AM25"/>
    </row>
    <row r="26" spans="1:39" ht="24" thickBot="1">
      <c r="A26" s="207" t="s">
        <v>225</v>
      </c>
      <c r="D26" s="235" t="s">
        <v>213</v>
      </c>
      <c r="E26" s="235" t="s">
        <v>214</v>
      </c>
      <c r="F26" s="235" t="s">
        <v>215</v>
      </c>
      <c r="G26" s="235" t="s">
        <v>53</v>
      </c>
      <c r="H26" s="235" t="s">
        <v>45</v>
      </c>
      <c r="I26" s="235" t="s">
        <v>46</v>
      </c>
      <c r="J26" s="235" t="s">
        <v>47</v>
      </c>
      <c r="K26" s="235" t="s">
        <v>216</v>
      </c>
      <c r="L26" s="235" t="s">
        <v>217</v>
      </c>
      <c r="M26" s="235" t="s">
        <v>218</v>
      </c>
      <c r="N26" s="235" t="s">
        <v>219</v>
      </c>
      <c r="O26" s="235" t="s">
        <v>207</v>
      </c>
      <c r="P26" s="150"/>
      <c r="X26" s="151"/>
      <c r="Z26" s="150"/>
      <c r="AD26" s="150"/>
      <c r="AE26" s="150"/>
      <c r="AF26" s="150"/>
      <c r="AG26" s="150"/>
      <c r="AH26" s="150"/>
      <c r="AI26" s="150"/>
      <c r="AJ26" s="150"/>
      <c r="AK26" s="150"/>
    </row>
    <row r="27" spans="1:39" ht="21.75" thickTop="1" thickBot="1">
      <c r="A27" s="207" t="s">
        <v>228</v>
      </c>
      <c r="D27" s="238">
        <f t="shared" ref="D27:O27" si="1">Q25*100/$AB25</f>
        <v>45.800349621645367</v>
      </c>
      <c r="E27" s="239">
        <f t="shared" si="1"/>
        <v>0.94893161184870389</v>
      </c>
      <c r="F27" s="239">
        <f t="shared" si="1"/>
        <v>11.161442306766693</v>
      </c>
      <c r="G27" s="239">
        <f t="shared" si="1"/>
        <v>11.1636756579876</v>
      </c>
      <c r="H27" s="239">
        <f t="shared" si="1"/>
        <v>0.18045028448517939</v>
      </c>
      <c r="I27" s="239">
        <f t="shared" si="1"/>
        <v>19.184984391418617</v>
      </c>
      <c r="J27" s="239">
        <f t="shared" si="1"/>
        <v>9.8628187008949642</v>
      </c>
      <c r="K27" s="239">
        <f t="shared" si="1"/>
        <v>1.1969636631101859</v>
      </c>
      <c r="L27" s="239">
        <f t="shared" si="1"/>
        <v>0.28704832898800736</v>
      </c>
      <c r="M27" s="239">
        <f t="shared" si="1"/>
        <v>0</v>
      </c>
      <c r="N27" s="239">
        <f t="shared" si="1"/>
        <v>0.21333543285467926</v>
      </c>
      <c r="O27" s="240">
        <f t="shared" si="1"/>
        <v>100</v>
      </c>
      <c r="P27"/>
      <c r="Q27"/>
      <c r="R27"/>
      <c r="X27" s="151"/>
      <c r="Z27" s="150"/>
      <c r="AD27" s="150"/>
      <c r="AE27" s="150"/>
      <c r="AF27" s="150"/>
      <c r="AG27" s="150"/>
      <c r="AH27" s="150"/>
      <c r="AI27" s="150"/>
      <c r="AJ27" s="150"/>
      <c r="AK27" s="150"/>
    </row>
    <row r="28" spans="1:39" ht="16.5" thickTop="1" thickBot="1">
      <c r="A28" s="208">
        <v>-0.255</v>
      </c>
      <c r="B28" s="151"/>
      <c r="P28"/>
      <c r="Q28"/>
      <c r="R28"/>
      <c r="X28" s="151"/>
      <c r="Z28" s="150"/>
      <c r="AA28" s="150"/>
      <c r="AB28" s="150"/>
      <c r="AC28" s="150"/>
      <c r="AD28" s="150"/>
      <c r="AE28" s="150"/>
      <c r="AF28" s="150"/>
      <c r="AG28" s="150"/>
      <c r="AH28" s="150"/>
      <c r="AI28" s="150"/>
      <c r="AJ28" s="150"/>
      <c r="AK28" s="150"/>
    </row>
    <row r="29" spans="1:39" ht="16.5" thickTop="1" thickBot="1">
      <c r="A29" s="205"/>
      <c r="B29" s="151"/>
      <c r="Z29" s="150"/>
      <c r="AA29" s="150"/>
      <c r="AB29" s="150"/>
      <c r="AC29" s="150"/>
      <c r="AD29" s="150"/>
      <c r="AE29" s="150"/>
      <c r="AF29" s="150"/>
      <c r="AG29" s="150"/>
      <c r="AH29" s="150"/>
      <c r="AI29" s="150"/>
      <c r="AJ29" s="150"/>
      <c r="AK29" s="150"/>
    </row>
    <row r="30" spans="1:39" ht="24" thickTop="1">
      <c r="A30" s="209" t="s">
        <v>224</v>
      </c>
      <c r="B30" s="177"/>
      <c r="Z30" s="165"/>
      <c r="AA30" s="150"/>
      <c r="AB30" s="150"/>
      <c r="AC30" s="150"/>
      <c r="AD30" s="150"/>
      <c r="AE30" s="150"/>
      <c r="AF30" s="150"/>
      <c r="AG30" s="150"/>
      <c r="AH30" s="150"/>
      <c r="AI30" s="150"/>
      <c r="AJ30" s="150"/>
      <c r="AK30" s="150"/>
    </row>
    <row r="31" spans="1:39" ht="15.75" thickBot="1">
      <c r="A31" s="237">
        <f>B22-V25</f>
        <v>4.5973981265948538E-2</v>
      </c>
      <c r="Z31" s="165"/>
      <c r="AA31" s="150"/>
      <c r="AB31" s="150"/>
      <c r="AC31" s="150"/>
      <c r="AD31" s="150"/>
      <c r="AE31" s="150"/>
      <c r="AF31" s="150"/>
      <c r="AG31" s="150"/>
      <c r="AH31" s="150"/>
      <c r="AI31" s="150"/>
      <c r="AJ31" s="150"/>
      <c r="AK31" s="150"/>
    </row>
    <row r="32" spans="1:39" ht="15.75" thickTop="1">
      <c r="Z32" s="165"/>
      <c r="AA32" s="150"/>
      <c r="AB32" s="150"/>
      <c r="AC32" s="150"/>
      <c r="AD32" s="150"/>
      <c r="AE32" s="150"/>
      <c r="AF32" s="150"/>
      <c r="AG32" s="150"/>
      <c r="AH32" s="150"/>
      <c r="AI32" s="150"/>
      <c r="AJ32" s="150"/>
      <c r="AK32" s="150"/>
    </row>
    <row r="33" spans="1:44">
      <c r="Z33" s="165"/>
      <c r="AA33" s="150"/>
      <c r="AB33" s="150"/>
      <c r="AC33" s="150"/>
      <c r="AD33" s="150"/>
      <c r="AE33" s="150"/>
      <c r="AF33" s="150"/>
      <c r="AG33" s="150"/>
      <c r="AH33" s="150"/>
      <c r="AI33" s="150"/>
      <c r="AJ33" s="150"/>
      <c r="AK33" s="150"/>
    </row>
    <row r="34" spans="1:44">
      <c r="AA34" s="150"/>
      <c r="AB34" s="150"/>
      <c r="AC34" s="150"/>
      <c r="AD34" s="150"/>
      <c r="AE34" s="150"/>
      <c r="AF34" s="150"/>
      <c r="AG34" s="150"/>
      <c r="AH34" s="150"/>
      <c r="AI34" s="150"/>
      <c r="AJ34" s="150"/>
      <c r="AK34" s="150"/>
    </row>
    <row r="35" spans="1:44">
      <c r="AA35" s="150"/>
      <c r="AB35" s="150"/>
      <c r="AC35" s="150"/>
      <c r="AD35" s="150"/>
      <c r="AE35" s="150"/>
      <c r="AF35" s="150"/>
      <c r="AG35" s="150"/>
      <c r="AH35" s="150"/>
      <c r="AI35" s="150"/>
      <c r="AJ35" s="150"/>
      <c r="AK35" s="150"/>
    </row>
    <row r="36" spans="1:44">
      <c r="AA36" s="150"/>
      <c r="AB36" s="150"/>
      <c r="AC36" s="150"/>
      <c r="AD36" s="150"/>
      <c r="AE36" s="150"/>
      <c r="AF36" s="150"/>
      <c r="AG36" s="150"/>
      <c r="AH36" s="150"/>
      <c r="AI36" s="150"/>
      <c r="AJ36" s="150"/>
      <c r="AK36" s="150"/>
    </row>
    <row r="38" spans="1:44" customFormat="1">
      <c r="C38" s="150"/>
      <c r="D38" s="150"/>
      <c r="E38" s="150"/>
      <c r="F38" s="151"/>
      <c r="G38" s="151"/>
      <c r="H38" s="151"/>
      <c r="I38" s="151"/>
      <c r="J38" s="151"/>
      <c r="K38" s="151"/>
      <c r="L38" s="151"/>
      <c r="M38" s="151"/>
      <c r="N38" s="151"/>
      <c r="O38" s="151"/>
      <c r="P38" s="151"/>
      <c r="Q38" s="151"/>
      <c r="R38" s="151"/>
      <c r="S38" s="151"/>
      <c r="T38" s="151"/>
      <c r="U38" s="151"/>
      <c r="V38" s="151"/>
      <c r="W38" s="151"/>
      <c r="X38" s="150"/>
      <c r="Y38" s="150"/>
    </row>
    <row r="39" spans="1:44" customFormat="1">
      <c r="C39" s="150"/>
      <c r="D39" s="150"/>
      <c r="E39" s="150"/>
      <c r="F39" s="151"/>
      <c r="G39" s="151"/>
      <c r="H39" s="151"/>
      <c r="I39" s="151"/>
      <c r="J39" s="151"/>
      <c r="K39" s="151"/>
      <c r="L39" s="151"/>
      <c r="M39" s="151"/>
      <c r="N39" s="151"/>
      <c r="O39" s="151"/>
      <c r="P39" s="151"/>
      <c r="Q39" s="151"/>
      <c r="R39" s="151"/>
      <c r="S39" s="151"/>
      <c r="T39" s="151"/>
      <c r="U39" s="151"/>
      <c r="V39" s="151"/>
      <c r="W39" s="151"/>
      <c r="X39" s="150"/>
      <c r="Y39" s="150"/>
    </row>
    <row r="40" spans="1:44">
      <c r="C40"/>
      <c r="D40"/>
      <c r="E40"/>
      <c r="F40"/>
      <c r="G40"/>
      <c r="H40"/>
      <c r="I40"/>
      <c r="J40"/>
      <c r="K40"/>
      <c r="L40"/>
      <c r="M40"/>
      <c r="N40"/>
      <c r="O40"/>
      <c r="P40"/>
      <c r="Q40"/>
    </row>
    <row r="41" spans="1:44" ht="15.75">
      <c r="D41" s="184"/>
      <c r="R41" s="185"/>
      <c r="S41"/>
      <c r="T41"/>
      <c r="U41"/>
      <c r="V41"/>
    </row>
    <row r="42" spans="1:44">
      <c r="D42"/>
      <c r="E42"/>
      <c r="F42"/>
      <c r="G42"/>
      <c r="H42"/>
      <c r="I42"/>
      <c r="J42"/>
      <c r="K42"/>
      <c r="L42"/>
      <c r="M42"/>
      <c r="N42"/>
      <c r="O42"/>
      <c r="P42"/>
      <c r="Q42" s="150"/>
      <c r="R42" s="185"/>
      <c r="S42"/>
      <c r="T42"/>
      <c r="U42"/>
      <c r="V42"/>
    </row>
    <row r="43" spans="1:44">
      <c r="D43"/>
      <c r="E43"/>
      <c r="F43"/>
      <c r="G43"/>
      <c r="H43"/>
      <c r="I43"/>
      <c r="J43"/>
      <c r="K43"/>
      <c r="L43"/>
      <c r="M43"/>
      <c r="N43"/>
      <c r="O43"/>
      <c r="P43"/>
      <c r="Q43" s="150"/>
      <c r="AL43"/>
      <c r="AM43"/>
      <c r="AN43"/>
      <c r="AO43"/>
      <c r="AP43"/>
      <c r="AQ43"/>
      <c r="AR43"/>
    </row>
    <row r="44" spans="1:44">
      <c r="A44"/>
      <c r="B44"/>
      <c r="C44"/>
      <c r="D44"/>
      <c r="E44"/>
      <c r="F44"/>
      <c r="G44"/>
      <c r="H44"/>
      <c r="I44"/>
      <c r="J44"/>
      <c r="K44"/>
      <c r="L44"/>
      <c r="M44"/>
      <c r="N44"/>
      <c r="O44"/>
      <c r="P44"/>
      <c r="AL44"/>
      <c r="AM44"/>
      <c r="AN44"/>
      <c r="AO44"/>
      <c r="AP44"/>
      <c r="AQ44"/>
      <c r="AR44"/>
    </row>
    <row r="45" spans="1:44">
      <c r="AL45"/>
      <c r="AM45"/>
      <c r="AN45"/>
      <c r="AO45"/>
      <c r="AP45"/>
      <c r="AQ45"/>
      <c r="AR45"/>
    </row>
    <row r="46" spans="1:44">
      <c r="E46" s="183"/>
      <c r="AL46"/>
      <c r="AM46"/>
      <c r="AN46"/>
      <c r="AO46"/>
      <c r="AP46"/>
      <c r="AQ46"/>
      <c r="AR46"/>
    </row>
    <row r="47" spans="1:44" ht="15.75">
      <c r="A47" s="184"/>
      <c r="B47" s="184"/>
      <c r="E47" s="183"/>
      <c r="AL47"/>
      <c r="AM47"/>
      <c r="AN47"/>
      <c r="AO47"/>
      <c r="AP47"/>
      <c r="AQ47"/>
      <c r="AR47"/>
    </row>
    <row r="48" spans="1:44">
      <c r="Q48" s="177"/>
      <c r="AL48"/>
      <c r="AM48"/>
      <c r="AN48"/>
      <c r="AO48"/>
      <c r="AP48"/>
      <c r="AQ48"/>
      <c r="AR48"/>
    </row>
    <row r="49" spans="6:42">
      <c r="W49"/>
      <c r="X49"/>
      <c r="Y49"/>
      <c r="AL49"/>
      <c r="AM49"/>
      <c r="AN49"/>
      <c r="AO49"/>
      <c r="AP49"/>
    </row>
    <row r="50" spans="6:42">
      <c r="F50"/>
      <c r="G50"/>
      <c r="H50"/>
      <c r="I50"/>
      <c r="J50"/>
      <c r="W50"/>
      <c r="X50"/>
      <c r="Y50"/>
      <c r="AL50"/>
      <c r="AM50"/>
      <c r="AN50"/>
      <c r="AO50"/>
      <c r="AP50"/>
    </row>
    <row r="51" spans="6:42">
      <c r="F51"/>
      <c r="G51"/>
      <c r="H51"/>
      <c r="I51"/>
      <c r="J51"/>
      <c r="K51"/>
      <c r="W51"/>
      <c r="X51"/>
      <c r="Y51"/>
      <c r="AL51"/>
      <c r="AM51"/>
      <c r="AN51"/>
      <c r="AO51"/>
      <c r="AP51"/>
    </row>
    <row r="52" spans="6:42">
      <c r="F52"/>
      <c r="G52"/>
      <c r="H52"/>
      <c r="I52"/>
      <c r="J52"/>
      <c r="K52"/>
      <c r="W52"/>
      <c r="X52"/>
      <c r="Y52"/>
      <c r="AL52"/>
      <c r="AM52"/>
      <c r="AN52"/>
      <c r="AO52"/>
      <c r="AP52"/>
    </row>
    <row r="53" spans="6:42">
      <c r="F53"/>
      <c r="G53"/>
      <c r="H53"/>
      <c r="I53"/>
      <c r="J53"/>
      <c r="K53"/>
    </row>
    <row r="54" spans="6:42">
      <c r="F54"/>
      <c r="G54"/>
      <c r="H54"/>
      <c r="I54"/>
      <c r="J54"/>
      <c r="K54"/>
    </row>
    <row r="55" spans="6:42">
      <c r="F55"/>
      <c r="G55"/>
      <c r="H55"/>
      <c r="I55"/>
      <c r="J55"/>
      <c r="K55"/>
    </row>
    <row r="56" spans="6:42">
      <c r="F56"/>
      <c r="G56"/>
      <c r="H56"/>
      <c r="I56"/>
      <c r="J56"/>
      <c r="K56"/>
    </row>
    <row r="57" spans="6:42">
      <c r="F57"/>
      <c r="G57"/>
      <c r="H57"/>
      <c r="I57"/>
      <c r="J57"/>
      <c r="K57"/>
    </row>
    <row r="58" spans="6:42">
      <c r="F58"/>
      <c r="G58"/>
      <c r="H58"/>
      <c r="I58"/>
      <c r="J58"/>
      <c r="K58"/>
    </row>
    <row r="59" spans="6:42">
      <c r="F59"/>
      <c r="G59"/>
      <c r="H59"/>
      <c r="I59"/>
      <c r="J59"/>
      <c r="K59"/>
    </row>
    <row r="60" spans="6:42">
      <c r="F60"/>
      <c r="G60"/>
      <c r="H60"/>
      <c r="I60"/>
      <c r="J60"/>
      <c r="K60"/>
    </row>
    <row r="61" spans="6:42">
      <c r="F61"/>
      <c r="G61"/>
      <c r="H61"/>
      <c r="I61"/>
      <c r="J61"/>
      <c r="K61"/>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2"/>
  <sheetViews>
    <sheetView workbookViewId="0">
      <selection activeCell="E27" sqref="E27"/>
    </sheetView>
  </sheetViews>
  <sheetFormatPr defaultColWidth="11.5546875" defaultRowHeight="15"/>
  <cols>
    <col min="3" max="3" width="14.44140625" customWidth="1"/>
    <col min="5" max="5" width="7" customWidth="1"/>
    <col min="10" max="10" width="4.44140625" customWidth="1"/>
  </cols>
  <sheetData>
    <row r="1" spans="1:14" ht="27.75">
      <c r="A1" s="204" t="s">
        <v>240</v>
      </c>
    </row>
    <row r="3" spans="1:14" ht="18.75" thickBot="1">
      <c r="B3" s="139" t="s">
        <v>172</v>
      </c>
      <c r="C3" s="140"/>
      <c r="D3" s="141"/>
    </row>
    <row r="4" spans="1:14" ht="18.75" thickBot="1">
      <c r="B4" s="142"/>
      <c r="C4" s="143">
        <v>0.34</v>
      </c>
      <c r="D4" s="144"/>
    </row>
    <row r="5" spans="1:14" ht="18.75" thickBot="1">
      <c r="B5" s="139" t="s">
        <v>173</v>
      </c>
      <c r="C5" s="145"/>
      <c r="D5" s="141"/>
      <c r="G5" s="146" t="s">
        <v>174</v>
      </c>
      <c r="L5" s="146" t="s">
        <v>175</v>
      </c>
    </row>
    <row r="6" spans="1:14" ht="18.75" thickBot="1">
      <c r="B6" s="147"/>
      <c r="C6" s="143">
        <v>0.03</v>
      </c>
      <c r="D6" s="144"/>
      <c r="G6" s="148">
        <f>C4-C6</f>
        <v>0.31000000000000005</v>
      </c>
      <c r="L6" s="148">
        <f>C4+C6</f>
        <v>0.37</v>
      </c>
    </row>
    <row r="7" spans="1:14">
      <c r="A7" s="146"/>
      <c r="B7" s="146"/>
    </row>
    <row r="8" spans="1:14">
      <c r="C8" t="s">
        <v>176</v>
      </c>
      <c r="D8" t="s">
        <v>176</v>
      </c>
      <c r="H8" t="s">
        <v>176</v>
      </c>
      <c r="I8" t="s">
        <v>176</v>
      </c>
      <c r="M8" t="s">
        <v>176</v>
      </c>
      <c r="N8" t="s">
        <v>176</v>
      </c>
    </row>
    <row r="9" spans="1:14">
      <c r="A9" s="149" t="s">
        <v>177</v>
      </c>
      <c r="B9" s="149" t="s">
        <v>178</v>
      </c>
      <c r="C9" s="149" t="s">
        <v>179</v>
      </c>
      <c r="D9" s="149" t="s">
        <v>180</v>
      </c>
      <c r="F9" s="149" t="s">
        <v>177</v>
      </c>
      <c r="G9" s="149" t="s">
        <v>178</v>
      </c>
      <c r="H9" s="149" t="s">
        <v>179</v>
      </c>
      <c r="I9" s="149" t="s">
        <v>180</v>
      </c>
      <c r="K9" s="149" t="s">
        <v>177</v>
      </c>
      <c r="L9" s="149" t="s">
        <v>178</v>
      </c>
      <c r="M9" s="149" t="s">
        <v>179</v>
      </c>
      <c r="N9" s="149" t="s">
        <v>180</v>
      </c>
    </row>
    <row r="10" spans="1:14">
      <c r="A10">
        <v>0</v>
      </c>
      <c r="B10">
        <f t="shared" ref="B10:B41" si="0">$C$4*A10</f>
        <v>0</v>
      </c>
      <c r="C10" s="146">
        <f>100*B10/(B10+1)</f>
        <v>0</v>
      </c>
      <c r="D10" s="146">
        <f>100*A10/(A10+1)</f>
        <v>0</v>
      </c>
      <c r="F10">
        <f>A10</f>
        <v>0</v>
      </c>
      <c r="G10">
        <f t="shared" ref="G10:G41" si="1">$G$6*A10</f>
        <v>0</v>
      </c>
      <c r="H10" s="146">
        <f t="shared" ref="H10:H40" si="2">100*G10/(G10+1)</f>
        <v>0</v>
      </c>
      <c r="I10" s="146">
        <f t="shared" ref="I10:I41" si="3">100*F10/(F10+1)</f>
        <v>0</v>
      </c>
      <c r="K10">
        <f>A10</f>
        <v>0</v>
      </c>
      <c r="L10">
        <f t="shared" ref="L10:L41" si="4">$L$6*K10</f>
        <v>0</v>
      </c>
      <c r="M10" s="146">
        <f>100*L10/(L10+1)</f>
        <v>0</v>
      </c>
      <c r="N10" s="146">
        <f>100*K10/(K10+1)</f>
        <v>0</v>
      </c>
    </row>
    <row r="11" spans="1:14">
      <c r="A11">
        <v>0.1</v>
      </c>
      <c r="B11">
        <f t="shared" si="0"/>
        <v>3.4000000000000002E-2</v>
      </c>
      <c r="C11" s="146">
        <f t="shared" ref="C11:C41" si="5">100*B11/(B11+1)</f>
        <v>3.2882011605415862</v>
      </c>
      <c r="D11" s="146">
        <f t="shared" ref="D11:D41" si="6">100*A11/(A11+1)</f>
        <v>9.0909090909090899</v>
      </c>
      <c r="F11">
        <f t="shared" ref="F11:F41" si="7">A11</f>
        <v>0.1</v>
      </c>
      <c r="G11">
        <f t="shared" si="1"/>
        <v>3.1000000000000007E-2</v>
      </c>
      <c r="H11" s="146">
        <f t="shared" si="2"/>
        <v>3.0067895247332692</v>
      </c>
      <c r="I11" s="146">
        <f t="shared" si="3"/>
        <v>9.0909090909090899</v>
      </c>
      <c r="K11">
        <f t="shared" ref="K11:K41" si="8">A11</f>
        <v>0.1</v>
      </c>
      <c r="L11">
        <f t="shared" si="4"/>
        <v>3.6999999999999998E-2</v>
      </c>
      <c r="M11" s="146">
        <f t="shared" ref="M11:M41" si="9">100*L11/(L11+1)</f>
        <v>3.5679845708775315</v>
      </c>
      <c r="N11" s="146">
        <f t="shared" ref="N11:N41" si="10">100*K11/(K11+1)</f>
        <v>9.0909090909090899</v>
      </c>
    </row>
    <row r="12" spans="1:14">
      <c r="A12">
        <v>0.2</v>
      </c>
      <c r="B12">
        <f t="shared" si="0"/>
        <v>6.8000000000000005E-2</v>
      </c>
      <c r="C12" s="146">
        <f t="shared" si="5"/>
        <v>6.3670411985018731</v>
      </c>
      <c r="D12" s="146">
        <f t="shared" si="6"/>
        <v>16.666666666666668</v>
      </c>
      <c r="F12">
        <f t="shared" si="7"/>
        <v>0.2</v>
      </c>
      <c r="G12">
        <f t="shared" si="1"/>
        <v>6.2000000000000013E-2</v>
      </c>
      <c r="H12" s="146">
        <f t="shared" si="2"/>
        <v>5.8380414312617708</v>
      </c>
      <c r="I12" s="146">
        <f t="shared" si="3"/>
        <v>16.666666666666668</v>
      </c>
      <c r="K12">
        <f t="shared" si="8"/>
        <v>0.2</v>
      </c>
      <c r="L12">
        <f t="shared" si="4"/>
        <v>7.3999999999999996E-2</v>
      </c>
      <c r="M12" s="146">
        <f t="shared" si="9"/>
        <v>6.8901303538175034</v>
      </c>
      <c r="N12" s="146">
        <f t="shared" si="10"/>
        <v>16.666666666666668</v>
      </c>
    </row>
    <row r="13" spans="1:14">
      <c r="A13">
        <v>0.3</v>
      </c>
      <c r="B13">
        <f t="shared" si="0"/>
        <v>0.10200000000000001</v>
      </c>
      <c r="C13" s="146">
        <f>100*B13/(B13+1)</f>
        <v>9.2558983666061714</v>
      </c>
      <c r="D13" s="146">
        <f t="shared" si="6"/>
        <v>23.076923076923077</v>
      </c>
      <c r="F13">
        <f t="shared" si="7"/>
        <v>0.3</v>
      </c>
      <c r="G13">
        <f t="shared" si="1"/>
        <v>9.3000000000000013E-2</v>
      </c>
      <c r="H13" s="146">
        <f t="shared" si="2"/>
        <v>8.5086916742909438</v>
      </c>
      <c r="I13" s="146">
        <f t="shared" si="3"/>
        <v>23.076923076923077</v>
      </c>
      <c r="K13">
        <f t="shared" si="8"/>
        <v>0.3</v>
      </c>
      <c r="L13">
        <f t="shared" si="4"/>
        <v>0.111</v>
      </c>
      <c r="M13" s="146">
        <f t="shared" si="9"/>
        <v>9.99099909990999</v>
      </c>
      <c r="N13" s="146">
        <f t="shared" si="10"/>
        <v>23.076923076923077</v>
      </c>
    </row>
    <row r="14" spans="1:14">
      <c r="A14">
        <v>0.4</v>
      </c>
      <c r="B14">
        <f t="shared" si="0"/>
        <v>0.13600000000000001</v>
      </c>
      <c r="C14" s="146">
        <f t="shared" si="5"/>
        <v>11.971830985915492</v>
      </c>
      <c r="D14" s="146">
        <f t="shared" si="6"/>
        <v>28.571428571428573</v>
      </c>
      <c r="F14">
        <f t="shared" si="7"/>
        <v>0.4</v>
      </c>
      <c r="G14">
        <f t="shared" si="1"/>
        <v>0.12400000000000003</v>
      </c>
      <c r="H14" s="146">
        <f t="shared" si="2"/>
        <v>11.032028469750891</v>
      </c>
      <c r="I14" s="146">
        <f t="shared" si="3"/>
        <v>28.571428571428573</v>
      </c>
      <c r="K14">
        <f t="shared" si="8"/>
        <v>0.4</v>
      </c>
      <c r="L14">
        <f t="shared" si="4"/>
        <v>0.14799999999999999</v>
      </c>
      <c r="M14" s="146">
        <f t="shared" si="9"/>
        <v>12.89198606271777</v>
      </c>
      <c r="N14" s="146">
        <f t="shared" si="10"/>
        <v>28.571428571428573</v>
      </c>
    </row>
    <row r="15" spans="1:14">
      <c r="A15">
        <v>0.5</v>
      </c>
      <c r="B15">
        <f t="shared" si="0"/>
        <v>0.17</v>
      </c>
      <c r="C15" s="146">
        <f t="shared" si="5"/>
        <v>14.529914529914532</v>
      </c>
      <c r="D15" s="146">
        <f t="shared" si="6"/>
        <v>33.333333333333336</v>
      </c>
      <c r="F15">
        <f t="shared" si="7"/>
        <v>0.5</v>
      </c>
      <c r="G15">
        <f t="shared" si="1"/>
        <v>0.15500000000000003</v>
      </c>
      <c r="H15" s="146">
        <f t="shared" si="2"/>
        <v>13.419913419913422</v>
      </c>
      <c r="I15" s="146">
        <f t="shared" si="3"/>
        <v>33.333333333333336</v>
      </c>
      <c r="K15">
        <f t="shared" si="8"/>
        <v>0.5</v>
      </c>
      <c r="L15">
        <f t="shared" si="4"/>
        <v>0.185</v>
      </c>
      <c r="M15" s="146">
        <f t="shared" si="9"/>
        <v>15.61181434599156</v>
      </c>
      <c r="N15" s="146">
        <f t="shared" si="10"/>
        <v>33.333333333333336</v>
      </c>
    </row>
    <row r="16" spans="1:14">
      <c r="A16">
        <v>0.6</v>
      </c>
      <c r="B16">
        <f t="shared" si="0"/>
        <v>0.20400000000000001</v>
      </c>
      <c r="C16" s="146">
        <f t="shared" si="5"/>
        <v>16.943521594684388</v>
      </c>
      <c r="D16" s="146">
        <f t="shared" si="6"/>
        <v>37.5</v>
      </c>
      <c r="F16">
        <f t="shared" si="7"/>
        <v>0.6</v>
      </c>
      <c r="G16">
        <f t="shared" si="1"/>
        <v>0.18600000000000003</v>
      </c>
      <c r="H16" s="146">
        <f t="shared" si="2"/>
        <v>15.682967959527826</v>
      </c>
      <c r="I16" s="146">
        <f t="shared" si="3"/>
        <v>37.5</v>
      </c>
      <c r="K16">
        <f t="shared" si="8"/>
        <v>0.6</v>
      </c>
      <c r="L16">
        <f t="shared" si="4"/>
        <v>0.222</v>
      </c>
      <c r="M16" s="146">
        <f t="shared" si="9"/>
        <v>18.166939443535188</v>
      </c>
      <c r="N16" s="146">
        <f t="shared" si="10"/>
        <v>37.5</v>
      </c>
    </row>
    <row r="17" spans="1:14">
      <c r="A17">
        <v>0.7</v>
      </c>
      <c r="B17">
        <f t="shared" si="0"/>
        <v>0.23799999999999999</v>
      </c>
      <c r="C17" s="146">
        <f t="shared" si="5"/>
        <v>19.224555735056541</v>
      </c>
      <c r="D17" s="146">
        <f t="shared" si="6"/>
        <v>41.176470588235297</v>
      </c>
      <c r="F17">
        <f t="shared" si="7"/>
        <v>0.7</v>
      </c>
      <c r="G17">
        <f t="shared" si="1"/>
        <v>0.21700000000000003</v>
      </c>
      <c r="H17" s="146">
        <f t="shared" si="2"/>
        <v>17.830731306491373</v>
      </c>
      <c r="I17" s="146">
        <f t="shared" si="3"/>
        <v>41.176470588235297</v>
      </c>
      <c r="K17">
        <f t="shared" si="8"/>
        <v>0.7</v>
      </c>
      <c r="L17">
        <f t="shared" si="4"/>
        <v>0.25900000000000001</v>
      </c>
      <c r="M17" s="146">
        <f t="shared" si="9"/>
        <v>20.571882446386024</v>
      </c>
      <c r="N17" s="146">
        <f t="shared" si="10"/>
        <v>41.176470588235297</v>
      </c>
    </row>
    <row r="18" spans="1:14">
      <c r="A18">
        <v>0.8</v>
      </c>
      <c r="B18">
        <f t="shared" si="0"/>
        <v>0.27200000000000002</v>
      </c>
      <c r="C18" s="146">
        <f t="shared" si="5"/>
        <v>21.383647798742139</v>
      </c>
      <c r="D18" s="146">
        <f t="shared" si="6"/>
        <v>44.444444444444443</v>
      </c>
      <c r="F18">
        <f t="shared" si="7"/>
        <v>0.8</v>
      </c>
      <c r="G18">
        <f t="shared" si="1"/>
        <v>0.24800000000000005</v>
      </c>
      <c r="H18" s="146">
        <f t="shared" si="2"/>
        <v>19.871794871794876</v>
      </c>
      <c r="I18" s="146">
        <f t="shared" si="3"/>
        <v>44.444444444444443</v>
      </c>
      <c r="K18">
        <f t="shared" si="8"/>
        <v>0.8</v>
      </c>
      <c r="L18">
        <f t="shared" si="4"/>
        <v>0.29599999999999999</v>
      </c>
      <c r="M18" s="146">
        <f t="shared" si="9"/>
        <v>22.839506172839503</v>
      </c>
      <c r="N18" s="146">
        <f t="shared" si="10"/>
        <v>44.444444444444443</v>
      </c>
    </row>
    <row r="19" spans="1:14">
      <c r="A19">
        <v>0.9</v>
      </c>
      <c r="B19">
        <f t="shared" si="0"/>
        <v>0.30600000000000005</v>
      </c>
      <c r="C19" s="146">
        <f t="shared" si="5"/>
        <v>23.430321592649314</v>
      </c>
      <c r="D19" s="146">
        <f t="shared" si="6"/>
        <v>47.368421052631582</v>
      </c>
      <c r="F19">
        <f t="shared" si="7"/>
        <v>0.9</v>
      </c>
      <c r="G19">
        <f t="shared" si="1"/>
        <v>0.27900000000000008</v>
      </c>
      <c r="H19" s="146">
        <f t="shared" si="2"/>
        <v>21.813917122752155</v>
      </c>
      <c r="I19" s="146">
        <f t="shared" si="3"/>
        <v>47.368421052631582</v>
      </c>
      <c r="K19">
        <f t="shared" si="8"/>
        <v>0.9</v>
      </c>
      <c r="L19">
        <f t="shared" si="4"/>
        <v>0.33300000000000002</v>
      </c>
      <c r="M19" s="146">
        <f t="shared" si="9"/>
        <v>24.981245311327836</v>
      </c>
      <c r="N19" s="146">
        <f t="shared" si="10"/>
        <v>47.368421052631582</v>
      </c>
    </row>
    <row r="20" spans="1:14">
      <c r="A20">
        <v>1</v>
      </c>
      <c r="B20">
        <f t="shared" si="0"/>
        <v>0.34</v>
      </c>
      <c r="C20" s="146">
        <f t="shared" si="5"/>
        <v>25.373134328358208</v>
      </c>
      <c r="D20" s="146">
        <f t="shared" si="6"/>
        <v>50</v>
      </c>
      <c r="F20">
        <f t="shared" si="7"/>
        <v>1</v>
      </c>
      <c r="G20">
        <f t="shared" si="1"/>
        <v>0.31000000000000005</v>
      </c>
      <c r="H20" s="146">
        <f t="shared" si="2"/>
        <v>23.664122137404586</v>
      </c>
      <c r="I20" s="146">
        <f t="shared" si="3"/>
        <v>50</v>
      </c>
      <c r="K20">
        <f t="shared" si="8"/>
        <v>1</v>
      </c>
      <c r="L20">
        <f t="shared" si="4"/>
        <v>0.37</v>
      </c>
      <c r="M20" s="146">
        <f t="shared" si="9"/>
        <v>27.007299270072991</v>
      </c>
      <c r="N20" s="146">
        <f t="shared" si="10"/>
        <v>50</v>
      </c>
    </row>
    <row r="21" spans="1:14">
      <c r="A21">
        <v>1.1000000000000001</v>
      </c>
      <c r="B21">
        <f t="shared" si="0"/>
        <v>0.37400000000000005</v>
      </c>
      <c r="C21" s="146">
        <f t="shared" si="5"/>
        <v>27.219796215429405</v>
      </c>
      <c r="D21" s="146">
        <f t="shared" si="6"/>
        <v>52.380952380952387</v>
      </c>
      <c r="F21">
        <f t="shared" si="7"/>
        <v>1.1000000000000001</v>
      </c>
      <c r="G21">
        <f t="shared" si="1"/>
        <v>0.34100000000000008</v>
      </c>
      <c r="H21" s="146">
        <f t="shared" si="2"/>
        <v>25.428784489187176</v>
      </c>
      <c r="I21" s="146">
        <f t="shared" si="3"/>
        <v>52.380952380952387</v>
      </c>
      <c r="K21">
        <f t="shared" si="8"/>
        <v>1.1000000000000001</v>
      </c>
      <c r="L21">
        <f t="shared" si="4"/>
        <v>0.40700000000000003</v>
      </c>
      <c r="M21" s="146">
        <f t="shared" si="9"/>
        <v>28.926794598436391</v>
      </c>
      <c r="N21" s="146">
        <f t="shared" si="10"/>
        <v>52.380952380952387</v>
      </c>
    </row>
    <row r="22" spans="1:14">
      <c r="A22">
        <v>1.2</v>
      </c>
      <c r="B22">
        <f t="shared" si="0"/>
        <v>0.40800000000000003</v>
      </c>
      <c r="C22" s="146">
        <f t="shared" si="5"/>
        <v>28.977272727272734</v>
      </c>
      <c r="D22" s="146">
        <f t="shared" si="6"/>
        <v>54.54545454545454</v>
      </c>
      <c r="F22">
        <f t="shared" si="7"/>
        <v>1.2</v>
      </c>
      <c r="G22">
        <f t="shared" si="1"/>
        <v>0.37200000000000005</v>
      </c>
      <c r="H22" s="146">
        <f t="shared" si="2"/>
        <v>27.113702623906704</v>
      </c>
      <c r="I22" s="146">
        <f t="shared" si="3"/>
        <v>54.54545454545454</v>
      </c>
      <c r="K22">
        <f t="shared" si="8"/>
        <v>1.2</v>
      </c>
      <c r="L22">
        <f t="shared" si="4"/>
        <v>0.44400000000000001</v>
      </c>
      <c r="M22" s="146">
        <f t="shared" si="9"/>
        <v>30.747922437673129</v>
      </c>
      <c r="N22" s="146">
        <f t="shared" si="10"/>
        <v>54.54545454545454</v>
      </c>
    </row>
    <row r="23" spans="1:14">
      <c r="A23">
        <v>1.3</v>
      </c>
      <c r="B23">
        <f t="shared" si="0"/>
        <v>0.44200000000000006</v>
      </c>
      <c r="C23" s="146">
        <f t="shared" si="5"/>
        <v>30.651872399445214</v>
      </c>
      <c r="D23" s="146">
        <f t="shared" si="6"/>
        <v>56.521739130434788</v>
      </c>
      <c r="F23">
        <f t="shared" si="7"/>
        <v>1.3</v>
      </c>
      <c r="G23">
        <f t="shared" si="1"/>
        <v>0.40300000000000008</v>
      </c>
      <c r="H23" s="146">
        <f t="shared" si="2"/>
        <v>28.724162508909487</v>
      </c>
      <c r="I23" s="146">
        <f t="shared" si="3"/>
        <v>56.521739130434788</v>
      </c>
      <c r="K23">
        <f t="shared" si="8"/>
        <v>1.3</v>
      </c>
      <c r="L23">
        <f t="shared" si="4"/>
        <v>0.48099999999999998</v>
      </c>
      <c r="M23" s="146">
        <f t="shared" si="9"/>
        <v>32.4780553679946</v>
      </c>
      <c r="N23" s="146">
        <f t="shared" si="10"/>
        <v>56.521739130434788</v>
      </c>
    </row>
    <row r="24" spans="1:14">
      <c r="A24">
        <v>1.4</v>
      </c>
      <c r="B24">
        <f t="shared" si="0"/>
        <v>0.47599999999999998</v>
      </c>
      <c r="C24" s="146">
        <f t="shared" si="5"/>
        <v>32.24932249322493</v>
      </c>
      <c r="D24" s="146">
        <f t="shared" si="6"/>
        <v>58.333333333333336</v>
      </c>
      <c r="F24">
        <f t="shared" si="7"/>
        <v>1.4</v>
      </c>
      <c r="G24">
        <f t="shared" si="1"/>
        <v>0.43400000000000005</v>
      </c>
      <c r="H24" s="146">
        <f t="shared" si="2"/>
        <v>30.264993026499305</v>
      </c>
      <c r="I24" s="146">
        <f t="shared" si="3"/>
        <v>58.333333333333336</v>
      </c>
      <c r="K24">
        <f t="shared" si="8"/>
        <v>1.4</v>
      </c>
      <c r="L24">
        <f t="shared" si="4"/>
        <v>0.51800000000000002</v>
      </c>
      <c r="M24" s="146">
        <f t="shared" si="9"/>
        <v>34.12384716732543</v>
      </c>
      <c r="N24" s="146">
        <f t="shared" si="10"/>
        <v>58.333333333333336</v>
      </c>
    </row>
    <row r="25" spans="1:14">
      <c r="A25">
        <v>1.5</v>
      </c>
      <c r="B25">
        <f t="shared" si="0"/>
        <v>0.51</v>
      </c>
      <c r="C25" s="146">
        <f t="shared" si="5"/>
        <v>33.774834437086092</v>
      </c>
      <c r="D25" s="146">
        <f t="shared" si="6"/>
        <v>60</v>
      </c>
      <c r="F25">
        <f t="shared" si="7"/>
        <v>1.5</v>
      </c>
      <c r="G25">
        <f t="shared" si="1"/>
        <v>0.46500000000000008</v>
      </c>
      <c r="H25" s="146">
        <f t="shared" si="2"/>
        <v>31.740614334470994</v>
      </c>
      <c r="I25" s="146">
        <f t="shared" si="3"/>
        <v>60</v>
      </c>
      <c r="K25">
        <f t="shared" si="8"/>
        <v>1.5</v>
      </c>
      <c r="L25">
        <f t="shared" si="4"/>
        <v>0.55499999999999994</v>
      </c>
      <c r="M25" s="146">
        <f t="shared" si="9"/>
        <v>35.691318327974273</v>
      </c>
      <c r="N25" s="146">
        <f t="shared" si="10"/>
        <v>60</v>
      </c>
    </row>
    <row r="26" spans="1:14">
      <c r="A26">
        <v>1.6</v>
      </c>
      <c r="B26">
        <f t="shared" si="0"/>
        <v>0.54400000000000004</v>
      </c>
      <c r="C26" s="146">
        <f t="shared" si="5"/>
        <v>35.233160621761662</v>
      </c>
      <c r="D26" s="146">
        <f t="shared" si="6"/>
        <v>61.538461538461533</v>
      </c>
      <c r="F26">
        <f t="shared" si="7"/>
        <v>1.6</v>
      </c>
      <c r="G26">
        <f t="shared" si="1"/>
        <v>0.49600000000000011</v>
      </c>
      <c r="H26" s="146">
        <f t="shared" si="2"/>
        <v>33.155080213903751</v>
      </c>
      <c r="I26" s="146">
        <f t="shared" si="3"/>
        <v>61.538461538461533</v>
      </c>
      <c r="K26">
        <f t="shared" si="8"/>
        <v>1.6</v>
      </c>
      <c r="L26">
        <f t="shared" si="4"/>
        <v>0.59199999999999997</v>
      </c>
      <c r="M26" s="146">
        <f t="shared" si="9"/>
        <v>37.185929648241199</v>
      </c>
      <c r="N26" s="146">
        <f t="shared" si="10"/>
        <v>61.538461538461533</v>
      </c>
    </row>
    <row r="27" spans="1:14">
      <c r="A27">
        <v>1.7</v>
      </c>
      <c r="B27">
        <f t="shared" si="0"/>
        <v>0.57800000000000007</v>
      </c>
      <c r="C27" s="146">
        <f t="shared" si="5"/>
        <v>36.628643852978456</v>
      </c>
      <c r="D27" s="146">
        <f t="shared" si="6"/>
        <v>62.962962962962962</v>
      </c>
      <c r="F27">
        <f t="shared" si="7"/>
        <v>1.7</v>
      </c>
      <c r="G27">
        <f t="shared" si="1"/>
        <v>0.52700000000000002</v>
      </c>
      <c r="H27" s="146">
        <f t="shared" si="2"/>
        <v>34.512115258677142</v>
      </c>
      <c r="I27" s="146">
        <f t="shared" si="3"/>
        <v>62.962962962962962</v>
      </c>
      <c r="K27">
        <f t="shared" si="8"/>
        <v>1.7</v>
      </c>
      <c r="L27">
        <f t="shared" si="4"/>
        <v>0.629</v>
      </c>
      <c r="M27" s="146">
        <f t="shared" si="9"/>
        <v>38.612645794966234</v>
      </c>
      <c r="N27" s="146">
        <f t="shared" si="10"/>
        <v>62.962962962962962</v>
      </c>
    </row>
    <row r="28" spans="1:14">
      <c r="A28">
        <v>2.2000000000000002</v>
      </c>
      <c r="B28">
        <f t="shared" si="0"/>
        <v>0.74800000000000011</v>
      </c>
      <c r="C28" s="146">
        <f t="shared" si="5"/>
        <v>42.791762013729979</v>
      </c>
      <c r="D28" s="146">
        <f t="shared" si="6"/>
        <v>68.75</v>
      </c>
      <c r="F28">
        <f t="shared" si="7"/>
        <v>2.2000000000000002</v>
      </c>
      <c r="G28">
        <f t="shared" si="1"/>
        <v>0.68200000000000016</v>
      </c>
      <c r="H28" s="146">
        <f t="shared" si="2"/>
        <v>40.54696789536267</v>
      </c>
      <c r="I28" s="146">
        <f t="shared" si="3"/>
        <v>68.75</v>
      </c>
      <c r="K28">
        <f t="shared" si="8"/>
        <v>2.2000000000000002</v>
      </c>
      <c r="L28">
        <f t="shared" si="4"/>
        <v>0.81400000000000006</v>
      </c>
      <c r="M28" s="146">
        <f t="shared" si="9"/>
        <v>44.873208379272327</v>
      </c>
      <c r="N28" s="146">
        <f t="shared" si="10"/>
        <v>68.75</v>
      </c>
    </row>
    <row r="29" spans="1:14">
      <c r="A29">
        <v>2.7</v>
      </c>
      <c r="B29">
        <f t="shared" si="0"/>
        <v>0.91800000000000015</v>
      </c>
      <c r="C29" s="146">
        <f t="shared" si="5"/>
        <v>47.862356621480714</v>
      </c>
      <c r="D29" s="146">
        <f t="shared" si="6"/>
        <v>72.972972972972968</v>
      </c>
      <c r="F29">
        <f t="shared" si="7"/>
        <v>2.7</v>
      </c>
      <c r="G29">
        <f t="shared" si="1"/>
        <v>0.83700000000000019</v>
      </c>
      <c r="H29" s="146">
        <f t="shared" si="2"/>
        <v>45.563418617310838</v>
      </c>
      <c r="I29" s="146">
        <f t="shared" si="3"/>
        <v>72.972972972972968</v>
      </c>
      <c r="K29">
        <f t="shared" si="8"/>
        <v>2.7</v>
      </c>
      <c r="L29">
        <f t="shared" si="4"/>
        <v>0.999</v>
      </c>
      <c r="M29" s="146">
        <f t="shared" si="9"/>
        <v>49.974987493746873</v>
      </c>
      <c r="N29" s="146">
        <f t="shared" si="10"/>
        <v>72.972972972972968</v>
      </c>
    </row>
    <row r="30" spans="1:14">
      <c r="A30">
        <v>3.2</v>
      </c>
      <c r="B30">
        <f t="shared" si="0"/>
        <v>1.0880000000000001</v>
      </c>
      <c r="C30" s="146">
        <f t="shared" si="5"/>
        <v>52.107279693486596</v>
      </c>
      <c r="D30" s="146">
        <f t="shared" si="6"/>
        <v>76.19047619047619</v>
      </c>
      <c r="F30">
        <f t="shared" si="7"/>
        <v>3.2</v>
      </c>
      <c r="G30">
        <f t="shared" si="1"/>
        <v>0.99200000000000021</v>
      </c>
      <c r="H30" s="146">
        <f t="shared" si="2"/>
        <v>49.799196787148595</v>
      </c>
      <c r="I30" s="146">
        <f t="shared" si="3"/>
        <v>76.19047619047619</v>
      </c>
      <c r="K30">
        <f t="shared" si="8"/>
        <v>3.2</v>
      </c>
      <c r="L30">
        <f t="shared" si="4"/>
        <v>1.1839999999999999</v>
      </c>
      <c r="M30" s="146">
        <f t="shared" si="9"/>
        <v>54.212454212454205</v>
      </c>
      <c r="N30" s="146">
        <f t="shared" si="10"/>
        <v>76.19047619047619</v>
      </c>
    </row>
    <row r="31" spans="1:14">
      <c r="A31">
        <v>3.7</v>
      </c>
      <c r="B31">
        <f t="shared" si="0"/>
        <v>1.2580000000000002</v>
      </c>
      <c r="C31" s="146">
        <f t="shared" si="5"/>
        <v>55.713020372010639</v>
      </c>
      <c r="D31" s="146">
        <f t="shared" si="6"/>
        <v>78.723404255319153</v>
      </c>
      <c r="F31">
        <f t="shared" si="7"/>
        <v>3.7</v>
      </c>
      <c r="G31">
        <f t="shared" si="1"/>
        <v>1.1470000000000002</v>
      </c>
      <c r="H31" s="146">
        <f t="shared" si="2"/>
        <v>53.423381462505823</v>
      </c>
      <c r="I31" s="146">
        <f t="shared" si="3"/>
        <v>78.723404255319153</v>
      </c>
      <c r="K31">
        <f t="shared" si="8"/>
        <v>3.7</v>
      </c>
      <c r="L31">
        <f t="shared" si="4"/>
        <v>1.369</v>
      </c>
      <c r="M31" s="146">
        <f t="shared" si="9"/>
        <v>57.788096243140572</v>
      </c>
      <c r="N31" s="146">
        <f t="shared" si="10"/>
        <v>78.723404255319153</v>
      </c>
    </row>
    <row r="32" spans="1:14">
      <c r="A32">
        <v>4.2</v>
      </c>
      <c r="B32">
        <f t="shared" si="0"/>
        <v>1.4280000000000002</v>
      </c>
      <c r="C32" s="146">
        <f t="shared" si="5"/>
        <v>58.813838550247127</v>
      </c>
      <c r="D32" s="146">
        <f t="shared" si="6"/>
        <v>80.769230769230759</v>
      </c>
      <c r="F32">
        <f t="shared" si="7"/>
        <v>4.2</v>
      </c>
      <c r="G32">
        <f t="shared" si="1"/>
        <v>1.3020000000000003</v>
      </c>
      <c r="H32" s="146">
        <f t="shared" si="2"/>
        <v>56.559513466550818</v>
      </c>
      <c r="I32" s="146">
        <f t="shared" si="3"/>
        <v>80.769230769230759</v>
      </c>
      <c r="K32">
        <f t="shared" si="8"/>
        <v>4.2</v>
      </c>
      <c r="L32">
        <f t="shared" si="4"/>
        <v>1.554</v>
      </c>
      <c r="M32" s="146">
        <f t="shared" si="9"/>
        <v>60.845732184808142</v>
      </c>
      <c r="N32" s="146">
        <f t="shared" si="10"/>
        <v>80.769230769230759</v>
      </c>
    </row>
    <row r="33" spans="1:14">
      <c r="A33">
        <v>5.2</v>
      </c>
      <c r="B33">
        <f t="shared" si="0"/>
        <v>1.7680000000000002</v>
      </c>
      <c r="C33" s="146">
        <f t="shared" si="5"/>
        <v>63.872832369942195</v>
      </c>
      <c r="D33" s="146">
        <f t="shared" si="6"/>
        <v>83.870967741935488</v>
      </c>
      <c r="F33">
        <f t="shared" si="7"/>
        <v>5.2</v>
      </c>
      <c r="G33">
        <f t="shared" si="1"/>
        <v>1.6120000000000003</v>
      </c>
      <c r="H33" s="146">
        <f t="shared" si="2"/>
        <v>61.715160796324668</v>
      </c>
      <c r="I33" s="146">
        <f t="shared" si="3"/>
        <v>83.870967741935488</v>
      </c>
      <c r="K33">
        <f t="shared" si="8"/>
        <v>5.2</v>
      </c>
      <c r="L33">
        <f t="shared" si="4"/>
        <v>1.9239999999999999</v>
      </c>
      <c r="M33" s="146">
        <f t="shared" si="9"/>
        <v>65.800273597811227</v>
      </c>
      <c r="N33" s="146">
        <f t="shared" si="10"/>
        <v>83.870967741935488</v>
      </c>
    </row>
    <row r="34" spans="1:14">
      <c r="A34">
        <v>6.2</v>
      </c>
      <c r="B34">
        <f t="shared" si="0"/>
        <v>2.1080000000000001</v>
      </c>
      <c r="C34" s="146">
        <f t="shared" si="5"/>
        <v>67.824967824967828</v>
      </c>
      <c r="D34" s="146">
        <f t="shared" si="6"/>
        <v>86.111111111111114</v>
      </c>
      <c r="F34">
        <f t="shared" si="7"/>
        <v>6.2</v>
      </c>
      <c r="G34">
        <f t="shared" si="1"/>
        <v>1.9220000000000004</v>
      </c>
      <c r="H34" s="146">
        <f t="shared" si="2"/>
        <v>65.776865160848729</v>
      </c>
      <c r="I34" s="146">
        <f t="shared" si="3"/>
        <v>86.111111111111114</v>
      </c>
      <c r="K34">
        <f t="shared" si="8"/>
        <v>6.2</v>
      </c>
      <c r="L34">
        <f t="shared" si="4"/>
        <v>2.294</v>
      </c>
      <c r="M34" s="146">
        <f t="shared" si="9"/>
        <v>69.641772920461449</v>
      </c>
      <c r="N34" s="146">
        <f t="shared" si="10"/>
        <v>86.111111111111114</v>
      </c>
    </row>
    <row r="35" spans="1:14">
      <c r="A35">
        <v>7.2</v>
      </c>
      <c r="B35">
        <f t="shared" si="0"/>
        <v>2.4480000000000004</v>
      </c>
      <c r="C35" s="146">
        <f t="shared" si="5"/>
        <v>70.997679814385151</v>
      </c>
      <c r="D35" s="146">
        <f t="shared" si="6"/>
        <v>87.804878048780495</v>
      </c>
      <c r="F35">
        <f t="shared" si="7"/>
        <v>7.2</v>
      </c>
      <c r="G35">
        <f t="shared" si="1"/>
        <v>2.2320000000000007</v>
      </c>
      <c r="H35" s="146">
        <f t="shared" si="2"/>
        <v>69.059405940594075</v>
      </c>
      <c r="I35" s="146">
        <f t="shared" si="3"/>
        <v>87.804878048780495</v>
      </c>
      <c r="K35">
        <f t="shared" si="8"/>
        <v>7.2</v>
      </c>
      <c r="L35">
        <f t="shared" si="4"/>
        <v>2.6640000000000001</v>
      </c>
      <c r="M35" s="146">
        <f t="shared" si="9"/>
        <v>72.707423580786028</v>
      </c>
      <c r="N35" s="146">
        <f t="shared" si="10"/>
        <v>87.804878048780495</v>
      </c>
    </row>
    <row r="36" spans="1:14">
      <c r="A36">
        <v>10</v>
      </c>
      <c r="B36">
        <f t="shared" si="0"/>
        <v>3.4000000000000004</v>
      </c>
      <c r="C36" s="146">
        <f t="shared" si="5"/>
        <v>77.27272727272728</v>
      </c>
      <c r="D36" s="146">
        <f t="shared" si="6"/>
        <v>90.909090909090907</v>
      </c>
      <c r="F36">
        <f t="shared" si="7"/>
        <v>10</v>
      </c>
      <c r="G36">
        <f t="shared" si="1"/>
        <v>3.1000000000000005</v>
      </c>
      <c r="H36" s="146">
        <f t="shared" si="2"/>
        <v>75.609756097560975</v>
      </c>
      <c r="I36" s="146">
        <f t="shared" si="3"/>
        <v>90.909090909090907</v>
      </c>
      <c r="K36">
        <f t="shared" si="8"/>
        <v>10</v>
      </c>
      <c r="L36">
        <f t="shared" si="4"/>
        <v>3.7</v>
      </c>
      <c r="M36" s="146">
        <f t="shared" si="9"/>
        <v>78.723404255319153</v>
      </c>
      <c r="N36" s="146">
        <f t="shared" si="10"/>
        <v>90.909090909090907</v>
      </c>
    </row>
    <row r="37" spans="1:14">
      <c r="A37">
        <v>20</v>
      </c>
      <c r="B37">
        <f t="shared" si="0"/>
        <v>6.8000000000000007</v>
      </c>
      <c r="C37" s="146">
        <f t="shared" si="5"/>
        <v>87.179487179487182</v>
      </c>
      <c r="D37" s="146">
        <f t="shared" si="6"/>
        <v>95.238095238095241</v>
      </c>
      <c r="F37">
        <f t="shared" si="7"/>
        <v>20</v>
      </c>
      <c r="G37">
        <f t="shared" si="1"/>
        <v>6.2000000000000011</v>
      </c>
      <c r="H37" s="146">
        <f t="shared" si="2"/>
        <v>86.111111111111114</v>
      </c>
      <c r="I37" s="146">
        <f t="shared" si="3"/>
        <v>95.238095238095241</v>
      </c>
      <c r="K37">
        <f t="shared" si="8"/>
        <v>20</v>
      </c>
      <c r="L37">
        <f t="shared" si="4"/>
        <v>7.4</v>
      </c>
      <c r="M37" s="146">
        <f t="shared" si="9"/>
        <v>88.095238095238088</v>
      </c>
      <c r="N37" s="146">
        <f t="shared" si="10"/>
        <v>95.238095238095241</v>
      </c>
    </row>
    <row r="38" spans="1:14">
      <c r="A38">
        <v>40</v>
      </c>
      <c r="B38">
        <f t="shared" si="0"/>
        <v>13.600000000000001</v>
      </c>
      <c r="C38" s="146">
        <f t="shared" si="5"/>
        <v>93.150684931506859</v>
      </c>
      <c r="D38" s="146">
        <f t="shared" si="6"/>
        <v>97.560975609756099</v>
      </c>
      <c r="F38">
        <f t="shared" si="7"/>
        <v>40</v>
      </c>
      <c r="G38">
        <f t="shared" si="1"/>
        <v>12.400000000000002</v>
      </c>
      <c r="H38" s="146">
        <f t="shared" si="2"/>
        <v>92.537313432835816</v>
      </c>
      <c r="I38" s="146">
        <f t="shared" si="3"/>
        <v>97.560975609756099</v>
      </c>
      <c r="K38">
        <f t="shared" si="8"/>
        <v>40</v>
      </c>
      <c r="L38">
        <f t="shared" si="4"/>
        <v>14.8</v>
      </c>
      <c r="M38" s="146">
        <f t="shared" si="9"/>
        <v>93.670886075949369</v>
      </c>
      <c r="N38" s="146">
        <f t="shared" si="10"/>
        <v>97.560975609756099</v>
      </c>
    </row>
    <row r="39" spans="1:14">
      <c r="A39">
        <v>80</v>
      </c>
      <c r="B39">
        <f t="shared" si="0"/>
        <v>27.200000000000003</v>
      </c>
      <c r="C39" s="146">
        <f t="shared" si="5"/>
        <v>96.453900709219866</v>
      </c>
      <c r="D39" s="146">
        <f t="shared" si="6"/>
        <v>98.76543209876543</v>
      </c>
      <c r="F39">
        <f t="shared" si="7"/>
        <v>80</v>
      </c>
      <c r="G39">
        <f t="shared" si="1"/>
        <v>24.800000000000004</v>
      </c>
      <c r="H39" s="146">
        <f t="shared" si="2"/>
        <v>96.124031007751938</v>
      </c>
      <c r="I39" s="146">
        <f t="shared" si="3"/>
        <v>98.76543209876543</v>
      </c>
      <c r="K39">
        <f t="shared" si="8"/>
        <v>80</v>
      </c>
      <c r="L39">
        <f t="shared" si="4"/>
        <v>29.6</v>
      </c>
      <c r="M39" s="146">
        <f t="shared" si="9"/>
        <v>96.732026143790847</v>
      </c>
      <c r="N39" s="146">
        <f t="shared" si="10"/>
        <v>98.76543209876543</v>
      </c>
    </row>
    <row r="40" spans="1:14">
      <c r="A40">
        <v>200</v>
      </c>
      <c r="B40">
        <f t="shared" si="0"/>
        <v>68</v>
      </c>
      <c r="C40" s="146">
        <f t="shared" si="5"/>
        <v>98.550724637681157</v>
      </c>
      <c r="D40" s="146">
        <f t="shared" si="6"/>
        <v>99.50248756218906</v>
      </c>
      <c r="F40">
        <f t="shared" si="7"/>
        <v>200</v>
      </c>
      <c r="G40">
        <f t="shared" si="1"/>
        <v>62.000000000000014</v>
      </c>
      <c r="H40" s="146">
        <f t="shared" si="2"/>
        <v>98.412698412698418</v>
      </c>
      <c r="I40" s="146">
        <f t="shared" si="3"/>
        <v>99.50248756218906</v>
      </c>
      <c r="K40">
        <f t="shared" si="8"/>
        <v>200</v>
      </c>
      <c r="L40">
        <f t="shared" si="4"/>
        <v>74</v>
      </c>
      <c r="M40" s="146">
        <f t="shared" si="9"/>
        <v>98.666666666666671</v>
      </c>
      <c r="N40" s="146">
        <f t="shared" si="10"/>
        <v>99.50248756218906</v>
      </c>
    </row>
    <row r="41" spans="1:14">
      <c r="A41">
        <v>1000</v>
      </c>
      <c r="B41">
        <f t="shared" si="0"/>
        <v>340</v>
      </c>
      <c r="C41" s="146">
        <f t="shared" si="5"/>
        <v>99.706744868035187</v>
      </c>
      <c r="D41" s="146">
        <f t="shared" si="6"/>
        <v>99.900099900099903</v>
      </c>
      <c r="F41">
        <f t="shared" si="7"/>
        <v>1000</v>
      </c>
      <c r="G41">
        <f t="shared" si="1"/>
        <v>310.00000000000006</v>
      </c>
      <c r="H41" s="146">
        <f>100*G41/(G41+1)</f>
        <v>99.678456591639872</v>
      </c>
      <c r="I41" s="146">
        <f t="shared" si="3"/>
        <v>99.900099900099903</v>
      </c>
      <c r="K41">
        <f t="shared" si="8"/>
        <v>1000</v>
      </c>
      <c r="L41">
        <f t="shared" si="4"/>
        <v>370</v>
      </c>
      <c r="M41" s="146">
        <f t="shared" si="9"/>
        <v>99.730458221024264</v>
      </c>
      <c r="N41" s="146">
        <f t="shared" si="10"/>
        <v>99.900099900099903</v>
      </c>
    </row>
    <row r="141" spans="1:72" s="149"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149"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149"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149"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Instructions</vt:lpstr>
      <vt:lpstr>Calc P iterative</vt:lpstr>
      <vt:lpstr>Input P</vt:lpstr>
      <vt:lpstr>Parental Magma Calc</vt:lpstr>
      <vt:lpstr>Rhodes Diag Calcs</vt:lpstr>
      <vt:lpstr>Rhodes 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Putirka</dc:creator>
  <cp:lastModifiedBy>Windows User</cp:lastModifiedBy>
  <cp:lastPrinted>2015-09-03T17:47:38Z</cp:lastPrinted>
  <dcterms:created xsi:type="dcterms:W3CDTF">2015-03-18T18:23:20Z</dcterms:created>
  <dcterms:modified xsi:type="dcterms:W3CDTF">2019-05-23T16:55:25Z</dcterms:modified>
</cp:coreProperties>
</file>