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80" yWindow="0" windowWidth="23020" windowHeight="10460" tabRatio="500" activeTab="1"/>
  </bookViews>
  <sheets>
    <sheet name="Instructions" sheetId="1" r:id="rId1"/>
    <sheet name="Feldspar Input &amp;  Models" sheetId="2" r:id="rId2"/>
  </sheets>
  <definedNames/>
  <calcPr fullCalcOnLoad="1" iterate="1" iterateCount="100" iterateDelta="0.001"/>
</workbook>
</file>

<file path=xl/comments2.xml><?xml version="1.0" encoding="utf-8"?>
<comments xmlns="http://schemas.openxmlformats.org/spreadsheetml/2006/main">
  <authors>
    <author>Keith Putirka</author>
  </authors>
  <commentList>
    <comment ref="AM12" authorId="0">
      <text>
        <r>
          <rPr>
            <b/>
            <sz val="9"/>
            <rFont val="Verdana"/>
            <family val="0"/>
          </rPr>
          <t>Keith Putirka:</t>
        </r>
        <r>
          <rPr>
            <sz val="9"/>
            <rFont val="Verdana"/>
            <family val="0"/>
          </rPr>
          <t xml:space="preserve">
The best check for equilibrium is to compare calculated and measured An abd Ab contents</t>
        </r>
      </text>
    </comment>
    <comment ref="AQ12" authorId="0">
      <text>
        <r>
          <rPr>
            <b/>
            <sz val="9"/>
            <rFont val="Verdana"/>
            <family val="0"/>
          </rPr>
          <t>Keith Putirka:</t>
        </r>
        <r>
          <rPr>
            <sz val="9"/>
            <rFont val="Verdana"/>
            <family val="0"/>
          </rPr>
          <t xml:space="preserve">
This cell corrects an error in the 2008 RiMG volume (Chapter 2) where the temperatures (and errors) are switched. There are few experiments at T&lt;1050 C, but those few exhibit quite low exchange coefficients, compared to the bulk of experimental data at T&gt;1050 that are close to 0.28. At T&gt;1050 (n=756), the exchange is only weakly correlated with T (R = 0.13) and the standard deviation is ±0.11</t>
        </r>
      </text>
    </comment>
    <comment ref="AK15" authorId="0">
      <text>
        <r>
          <rPr>
            <b/>
            <sz val="9"/>
            <rFont val="Verdana"/>
            <family val="0"/>
          </rPr>
          <t>Keith Putirka:</t>
        </r>
        <r>
          <rPr>
            <sz val="9"/>
            <rFont val="Verdana"/>
            <family val="0"/>
          </rPr>
          <t xml:space="preserve">
I now view the P estimates from Eqn. 25a with much skepticim. It may work for limited data sets, but it is not a generaly applicable barometer. I suggest that it only be used when independent estimates of P are available as tests.</t>
        </r>
      </text>
    </comment>
    <comment ref="C15" authorId="0">
      <text>
        <r>
          <rPr>
            <b/>
            <sz val="9"/>
            <rFont val="Verdana"/>
            <family val="0"/>
          </rPr>
          <t>Keith Putirka:</t>
        </r>
        <r>
          <rPr>
            <sz val="9"/>
            <rFont val="Verdana"/>
            <family val="0"/>
          </rPr>
          <t xml:space="preserve">
Input a value for pressure. Use of 0.0001 Gpa (= 1 atm) yields a lower limit for pl + liq Temp. (See note in column AK on plag P estimates). A P estimate from cpx + liq might provide an upper limit for T for hydrous systems. For anhydrous systems, cpx saturaiton may occur at lower T than plag (and so possibly at lower P), and so plag saturation could be hotter, and deeper, than for cpx</t>
        </r>
      </text>
    </comment>
  </commentList>
</comments>
</file>

<file path=xl/sharedStrings.xml><?xml version="1.0" encoding="utf-8"?>
<sst xmlns="http://schemas.openxmlformats.org/spreadsheetml/2006/main" count="229" uniqueCount="135">
  <si>
    <t>T (C)</t>
  </si>
  <si>
    <t>P (GPa)</t>
  </si>
  <si>
    <t>An</t>
  </si>
  <si>
    <t>Ab</t>
  </si>
  <si>
    <t>Or</t>
  </si>
  <si>
    <t>Al/Al+Si)</t>
  </si>
  <si>
    <t>lnK(An-liq)</t>
  </si>
  <si>
    <t>lnK(Ab-An ex)</t>
  </si>
  <si>
    <t>KD(Fe-Mg)</t>
  </si>
  <si>
    <t>ClNM</t>
  </si>
  <si>
    <t>NF</t>
  </si>
  <si>
    <t>T(C )</t>
  </si>
  <si>
    <t>T(K)</t>
  </si>
  <si>
    <t>P(kbar) meas</t>
  </si>
  <si>
    <t>Global 5</t>
  </si>
  <si>
    <t>Mg# liq</t>
  </si>
  <si>
    <t>T(C) sat</t>
  </si>
  <si>
    <t>H2O</t>
  </si>
  <si>
    <t>Eqn 25b</t>
  </si>
  <si>
    <t>Auwera, J. V., and Longhi, J. (1994)</t>
  </si>
  <si>
    <t>TJ-8</t>
  </si>
  <si>
    <t>Value for P(GPa)</t>
  </si>
  <si>
    <t>TJ-7</t>
  </si>
  <si>
    <t>TJ-20</t>
  </si>
  <si>
    <t>TJ-4</t>
  </si>
  <si>
    <t>TJ-3</t>
  </si>
  <si>
    <t>TJ-23</t>
  </si>
  <si>
    <t>TJ-40</t>
  </si>
  <si>
    <t>Model H</t>
  </si>
  <si>
    <t>Eqn (24b)</t>
  </si>
  <si>
    <t>Eqn (24c)</t>
  </si>
  <si>
    <t>Alkali feldspar-Liquid Thermometers</t>
  </si>
  <si>
    <t xml:space="preserve">NOTE: THESE MODELS  (24b AND 24c) APPLY ONLY TO </t>
  </si>
  <si>
    <t>ALKALI FELDSPAR-LIQUID PAIRS; PREDICTED T(K)  WILL BE VERY LOW</t>
  </si>
  <si>
    <t>OR EVEN NEGATIVE WHEN USING PLAG-LIQUID PAIRS</t>
  </si>
  <si>
    <t>Geothermometers based on Plagioclase-liquid and Alkali feldspar-liquid equilibria</t>
  </si>
  <si>
    <t>TJ-43</t>
  </si>
  <si>
    <t>TC )</t>
  </si>
  <si>
    <t>Plagioclase-Liquid Thermometers, hygrometer and "barometer"</t>
  </si>
  <si>
    <t>Putirka (2005)</t>
  </si>
  <si>
    <t>Putirka (2008) RiMG equations</t>
  </si>
  <si>
    <t>FELDSPAR</t>
  </si>
  <si>
    <t>FELDSPAR Components</t>
  </si>
  <si>
    <t>Feldspar Compositions - in Weight Percent</t>
  </si>
  <si>
    <t>H2O (wt. %)</t>
  </si>
  <si>
    <t>P(kbar)</t>
  </si>
  <si>
    <t>Eqn 25a</t>
  </si>
  <si>
    <t>Eqn 24a</t>
  </si>
  <si>
    <t>Observed</t>
  </si>
  <si>
    <t>TJ-50</t>
  </si>
  <si>
    <t>Eqn 26</t>
  </si>
  <si>
    <t>Kudo and Weill (1970)</t>
  </si>
  <si>
    <t>a</t>
  </si>
  <si>
    <t>Eqn 7a</t>
  </si>
  <si>
    <t>lambda</t>
  </si>
  <si>
    <t>phi prime</t>
  </si>
  <si>
    <t>b</t>
  </si>
  <si>
    <t>c</t>
  </si>
  <si>
    <t>sigma</t>
  </si>
  <si>
    <t>Ca#</t>
  </si>
  <si>
    <t>T (K)</t>
  </si>
  <si>
    <t>Enter</t>
  </si>
  <si>
    <t>Appropriate</t>
  </si>
  <si>
    <t>Experimental Compositions given  as examples</t>
  </si>
  <si>
    <t>Leave Blank</t>
  </si>
  <si>
    <t>Experimental Conditions</t>
  </si>
  <si>
    <t>LEPR</t>
  </si>
  <si>
    <t>Data Source</t>
  </si>
  <si>
    <t>Experiment #</t>
  </si>
  <si>
    <t>Liquid (Glass) Composition - in Weight Percent</t>
  </si>
  <si>
    <t>Anhydrous</t>
  </si>
  <si>
    <t>SiO2</t>
  </si>
  <si>
    <t>TiO2</t>
  </si>
  <si>
    <t>Al2O3</t>
  </si>
  <si>
    <r>
      <t>K</t>
    </r>
    <r>
      <rPr>
        <vertAlign val="subscript"/>
        <sz val="10"/>
        <rFont val="Verdana"/>
        <family val="0"/>
      </rPr>
      <t>D</t>
    </r>
    <r>
      <rPr>
        <sz val="10"/>
        <rFont val="Verdana"/>
        <family val="0"/>
      </rPr>
      <t>(Ab-An)</t>
    </r>
  </si>
  <si>
    <t>Test for Equilibrium</t>
  </si>
  <si>
    <r>
      <t>K</t>
    </r>
    <r>
      <rPr>
        <b/>
        <vertAlign val="subscript"/>
        <sz val="10"/>
        <rFont val="Verdana"/>
        <family val="0"/>
      </rPr>
      <t>D</t>
    </r>
    <r>
      <rPr>
        <b/>
        <sz val="10"/>
        <rFont val="Verdana"/>
        <family val="0"/>
      </rPr>
      <t>(Ab-An)</t>
    </r>
  </si>
  <si>
    <t>FeOt</t>
  </si>
  <si>
    <t>MnO</t>
  </si>
  <si>
    <t>MgO</t>
  </si>
  <si>
    <t>CaO</t>
  </si>
  <si>
    <t>Na2O</t>
  </si>
  <si>
    <t>K2O</t>
  </si>
  <si>
    <t>Sum</t>
  </si>
  <si>
    <t>Plagioclase components predicted from Putirka (2005)</t>
  </si>
  <si>
    <t>Eqn. E</t>
  </si>
  <si>
    <t>Eqn. F</t>
  </si>
  <si>
    <t>Eqn. G</t>
  </si>
  <si>
    <t>Comp.</t>
  </si>
  <si>
    <t>Cr2O3</t>
  </si>
  <si>
    <t>Enter Liquid Composition Here</t>
  </si>
  <si>
    <t>Molecular Weights</t>
  </si>
  <si>
    <t>AlO3/2</t>
  </si>
  <si>
    <t>FeO</t>
  </si>
  <si>
    <t>NaO0.5</t>
  </si>
  <si>
    <t>KO0.5</t>
  </si>
  <si>
    <t>PO5/2</t>
  </si>
  <si>
    <t>sum</t>
  </si>
  <si>
    <t>CATION FRACTIONS</t>
  </si>
  <si>
    <t>Eqn (24a)</t>
  </si>
  <si>
    <t>1260-186</t>
  </si>
  <si>
    <t>1260-206</t>
  </si>
  <si>
    <t>1260-84</t>
  </si>
  <si>
    <t>1260-83</t>
  </si>
  <si>
    <t>1260-77</t>
  </si>
  <si>
    <t>1260-79</t>
  </si>
  <si>
    <t>1260-201</t>
  </si>
  <si>
    <t>1260-179</t>
  </si>
  <si>
    <t>1260-195</t>
  </si>
  <si>
    <t>1260-200</t>
  </si>
  <si>
    <t>1260-198</t>
  </si>
  <si>
    <t>1260-207</t>
  </si>
  <si>
    <t>Rutherford et al., 1985</t>
  </si>
  <si>
    <t>160A</t>
  </si>
  <si>
    <t>142A</t>
  </si>
  <si>
    <t>144A</t>
  </si>
  <si>
    <t>158A</t>
  </si>
  <si>
    <t>Eqn 23</t>
  </si>
  <si>
    <t>Total</t>
  </si>
  <si>
    <t>Gray field = input</t>
  </si>
  <si>
    <t>Blue field = output</t>
  </si>
  <si>
    <t>1) INPUT required in GRAY columns (C, G - R, and U - AD)</t>
  </si>
  <si>
    <t>Enter Feldspar Composition Here</t>
  </si>
  <si>
    <t>2) OUTPUTS for PLAGIOCLASE-based models are in BLUE columns, AF - AL</t>
  </si>
  <si>
    <t>4) TEST for plagioclase-liquid equilibrium in columns AM</t>
  </si>
  <si>
    <t>3) OUTPUTS for ALKALI FELDSPAR-based models are in BLUE columns, AO - AP</t>
  </si>
  <si>
    <t>Whitaker et al. (2007)</t>
  </si>
  <si>
    <t>Grove, T.L., Juster, T.C. (1989)</t>
  </si>
  <si>
    <t>P2O5</t>
  </si>
  <si>
    <t xml:space="preserve">LIQUID </t>
  </si>
  <si>
    <t>CATION PROPORTIONS</t>
  </si>
  <si>
    <t>CATION PFRACTIONS</t>
  </si>
  <si>
    <t>Index</t>
  </si>
  <si>
    <r>
      <t>T&gt;1050</t>
    </r>
    <r>
      <rPr>
        <vertAlign val="superscript"/>
        <sz val="10"/>
        <rFont val="Verdana"/>
        <family val="0"/>
      </rPr>
      <t xml:space="preserve"> o</t>
    </r>
    <r>
      <rPr>
        <sz val="10"/>
        <rFont val="Verdana"/>
        <family val="0"/>
      </rPr>
      <t>C = 0.28+/-0.11</t>
    </r>
  </si>
  <si>
    <r>
      <t>T&lt;1050</t>
    </r>
    <r>
      <rPr>
        <vertAlign val="superscript"/>
        <sz val="10"/>
        <rFont val="Verdana"/>
        <family val="0"/>
      </rPr>
      <t xml:space="preserve"> o</t>
    </r>
    <r>
      <rPr>
        <sz val="10"/>
        <rFont val="Verdana"/>
        <family val="0"/>
      </rPr>
      <t>C = 0.1+/-0.05</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</si>
</sst>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58">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8"/>
      <color indexed="8"/>
      <name val="Verdana"/>
      <family val="0"/>
    </font>
    <font>
      <sz val="10"/>
      <color indexed="8"/>
      <name val="Verdana"/>
      <family val="0"/>
    </font>
    <font>
      <sz val="18"/>
      <color indexed="8"/>
      <name val="Verdana"/>
      <family val="0"/>
    </font>
    <font>
      <sz val="14"/>
      <color indexed="8"/>
      <name val="Verdana"/>
      <family val="0"/>
    </font>
    <font>
      <sz val="11"/>
      <color indexed="8"/>
      <name val="Verdana"/>
      <family val="0"/>
    </font>
    <font>
      <b/>
      <sz val="11"/>
      <color indexed="8"/>
      <name val="Verdana"/>
      <family val="0"/>
    </font>
    <font>
      <b/>
      <sz val="14"/>
      <name val="Verdana"/>
      <family val="0"/>
    </font>
    <font>
      <vertAlign val="subscript"/>
      <sz val="10"/>
      <name val="Verdana"/>
      <family val="0"/>
    </font>
    <font>
      <vertAlign val="superscript"/>
      <sz val="10"/>
      <name val="Verdana"/>
      <family val="0"/>
    </font>
    <font>
      <b/>
      <vertAlign val="subscript"/>
      <sz val="10"/>
      <name val="Verdana"/>
      <family val="0"/>
    </font>
    <font>
      <sz val="9"/>
      <name val="Verdana"/>
      <family val="0"/>
    </font>
    <font>
      <b/>
      <sz val="9"/>
      <name val="Verdan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Calibri"/>
      <family val="0"/>
    </font>
    <font>
      <sz val="12"/>
      <color indexed="8"/>
      <name val="Calibri"/>
      <family val="0"/>
    </font>
    <font>
      <u val="single"/>
      <sz val="12"/>
      <color indexed="8"/>
      <name val="Calibri"/>
      <family val="0"/>
    </font>
    <font>
      <vertAlign val="superscript"/>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4">
    <xf numFmtId="0" fontId="0" fillId="0" borderId="0" xfId="0" applyAlignment="1">
      <alignment/>
    </xf>
    <xf numFmtId="0" fontId="0" fillId="0" borderId="0" xfId="0" applyAlignment="1">
      <alignment horizontal="lef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8" fillId="0" borderId="10" xfId="0" applyFont="1" applyFill="1" applyBorder="1" applyAlignment="1">
      <alignment horizontal="center"/>
    </xf>
    <xf numFmtId="0" fontId="8" fillId="0" borderId="11" xfId="0" applyFont="1" applyFill="1" applyBorder="1" applyAlignment="1">
      <alignment horizontal="center"/>
    </xf>
    <xf numFmtId="0" fontId="8" fillId="0" borderId="0" xfId="0" applyFont="1" applyFill="1" applyAlignment="1">
      <alignment horizontal="left"/>
    </xf>
    <xf numFmtId="0" fontId="11" fillId="0" borderId="12" xfId="0" applyFont="1" applyFill="1" applyBorder="1" applyAlignment="1">
      <alignment horizontal="center"/>
    </xf>
    <xf numFmtId="0" fontId="8" fillId="0" borderId="13" xfId="0" applyFont="1" applyFill="1" applyBorder="1" applyAlignment="1">
      <alignment horizontal="center"/>
    </xf>
    <xf numFmtId="0" fontId="11" fillId="0" borderId="14" xfId="0" applyFont="1" applyFill="1" applyBorder="1" applyAlignment="1">
      <alignment horizontal="center"/>
    </xf>
    <xf numFmtId="0" fontId="11" fillId="0" borderId="0" xfId="0" applyFont="1" applyFill="1" applyAlignment="1">
      <alignment horizontal="center"/>
    </xf>
    <xf numFmtId="0" fontId="11" fillId="0" borderId="0" xfId="0" applyFont="1" applyFill="1" applyAlignment="1">
      <alignment horizontal="left"/>
    </xf>
    <xf numFmtId="0" fontId="12"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12" fillId="33" borderId="15" xfId="0" applyFont="1" applyFill="1" applyBorder="1" applyAlignment="1">
      <alignment horizontal="center"/>
    </xf>
    <xf numFmtId="0" fontId="11" fillId="0" borderId="16" xfId="0" applyFont="1" applyFill="1" applyBorder="1" applyAlignment="1">
      <alignment horizontal="center"/>
    </xf>
    <xf numFmtId="0" fontId="12" fillId="33" borderId="0" xfId="0" applyFont="1" applyFill="1" applyAlignment="1">
      <alignment horizontal="left"/>
    </xf>
    <xf numFmtId="0" fontId="11" fillId="33" borderId="0" xfId="0" applyFont="1" applyFill="1" applyAlignment="1">
      <alignment/>
    </xf>
    <xf numFmtId="0" fontId="12" fillId="0" borderId="0" xfId="0" applyFont="1" applyFill="1" applyAlignment="1">
      <alignment/>
    </xf>
    <xf numFmtId="0" fontId="0" fillId="33" borderId="0" xfId="0" applyFont="1" applyFill="1" applyAlignment="1">
      <alignment horizontal="center"/>
    </xf>
    <xf numFmtId="0" fontId="8" fillId="0" borderId="17" xfId="0" applyFont="1" applyFill="1" applyBorder="1" applyAlignment="1">
      <alignment/>
    </xf>
    <xf numFmtId="0" fontId="8" fillId="0" borderId="18" xfId="0" applyFont="1" applyFill="1" applyBorder="1" applyAlignment="1">
      <alignment/>
    </xf>
    <xf numFmtId="0" fontId="0" fillId="0" borderId="10" xfId="0" applyFont="1" applyFill="1" applyBorder="1" applyAlignment="1">
      <alignment/>
    </xf>
    <xf numFmtId="0" fontId="0"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6" xfId="0" applyFont="1" applyFill="1" applyBorder="1" applyAlignment="1">
      <alignment/>
    </xf>
    <xf numFmtId="0" fontId="0" fillId="0" borderId="15" xfId="0" applyFont="1" applyFill="1" applyBorder="1" applyAlignment="1">
      <alignment/>
    </xf>
    <xf numFmtId="0" fontId="0" fillId="0" borderId="14" xfId="0" applyFont="1" applyFill="1" applyBorder="1" applyAlignment="1">
      <alignment/>
    </xf>
    <xf numFmtId="0" fontId="0" fillId="0" borderId="16" xfId="0" applyBorder="1" applyAlignment="1">
      <alignment/>
    </xf>
    <xf numFmtId="0" fontId="0" fillId="0" borderId="15" xfId="0" applyBorder="1" applyAlignment="1">
      <alignment/>
    </xf>
    <xf numFmtId="0" fontId="0" fillId="0" borderId="14" xfId="0" applyBorder="1" applyAlignment="1">
      <alignment/>
    </xf>
    <xf numFmtId="0" fontId="1" fillId="0" borderId="10" xfId="0" applyFont="1" applyFill="1" applyBorder="1" applyAlignment="1">
      <alignment/>
    </xf>
    <xf numFmtId="0" fontId="1" fillId="0" borderId="19"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1" fillId="0" borderId="0" xfId="0" applyFont="1" applyFill="1" applyBorder="1" applyAlignment="1">
      <alignment/>
    </xf>
    <xf numFmtId="0" fontId="1" fillId="0" borderId="13" xfId="0" applyFont="1" applyFill="1" applyBorder="1" applyAlignment="1">
      <alignment/>
    </xf>
    <xf numFmtId="0" fontId="1" fillId="0" borderId="16" xfId="0" applyFont="1" applyFill="1" applyBorder="1" applyAlignment="1">
      <alignment/>
    </xf>
    <xf numFmtId="0" fontId="1" fillId="0" borderId="15" xfId="0" applyFont="1" applyFill="1" applyBorder="1" applyAlignment="1">
      <alignment/>
    </xf>
    <xf numFmtId="0" fontId="1" fillId="0" borderId="14" xfId="0" applyFont="1" applyFill="1" applyBorder="1" applyAlignment="1">
      <alignment/>
    </xf>
    <xf numFmtId="0" fontId="8" fillId="0" borderId="17" xfId="0" applyFont="1" applyFill="1" applyBorder="1" applyAlignment="1">
      <alignment horizontal="center"/>
    </xf>
    <xf numFmtId="0" fontId="8" fillId="0" borderId="18" xfId="0" applyFont="1" applyFill="1" applyBorder="1" applyAlignment="1">
      <alignment horizontal="center"/>
    </xf>
    <xf numFmtId="0" fontId="11" fillId="33" borderId="0" xfId="0" applyFont="1" applyFill="1" applyAlignment="1">
      <alignment horizontal="center"/>
    </xf>
    <xf numFmtId="0" fontId="12" fillId="0" borderId="0" xfId="0" applyFont="1" applyFill="1" applyBorder="1" applyAlignment="1">
      <alignment horizontal="center"/>
    </xf>
    <xf numFmtId="0" fontId="0" fillId="0" borderId="0" xfId="0" applyAlignment="1">
      <alignment horizontal="center"/>
    </xf>
    <xf numFmtId="164" fontId="0" fillId="0" borderId="0" xfId="0" applyNumberFormat="1" applyFont="1" applyFill="1" applyAlignment="1">
      <alignment horizontal="center"/>
    </xf>
    <xf numFmtId="164" fontId="0" fillId="34" borderId="0" xfId="0" applyNumberFormat="1" applyFont="1" applyFill="1" applyAlignment="1">
      <alignment horizontal="center"/>
    </xf>
    <xf numFmtId="2" fontId="0" fillId="34" borderId="0" xfId="0" applyNumberFormat="1" applyFont="1" applyFill="1" applyAlignment="1">
      <alignment horizontal="center"/>
    </xf>
    <xf numFmtId="0" fontId="0" fillId="34" borderId="0" xfId="0" applyFont="1" applyFill="1" applyAlignment="1">
      <alignment horizontal="left"/>
    </xf>
    <xf numFmtId="0" fontId="0" fillId="34" borderId="0" xfId="0" applyFont="1" applyFill="1" applyAlignment="1">
      <alignment horizontal="center"/>
    </xf>
    <xf numFmtId="0" fontId="13" fillId="34" borderId="0" xfId="0" applyFont="1" applyFill="1" applyAlignment="1">
      <alignment horizontal="left"/>
    </xf>
    <xf numFmtId="164" fontId="0" fillId="0" borderId="0" xfId="0" applyNumberFormat="1" applyFont="1" applyFill="1" applyAlignment="1">
      <alignment/>
    </xf>
    <xf numFmtId="0" fontId="13" fillId="34" borderId="15" xfId="0" applyFont="1" applyFill="1" applyBorder="1" applyAlignment="1">
      <alignment horizontal="left"/>
    </xf>
    <xf numFmtId="0" fontId="0" fillId="34" borderId="15" xfId="0" applyFont="1" applyFill="1" applyBorder="1" applyAlignment="1">
      <alignment horizontal="left"/>
    </xf>
    <xf numFmtId="0" fontId="0" fillId="34" borderId="15" xfId="0" applyFont="1" applyFill="1" applyBorder="1" applyAlignment="1">
      <alignment horizontal="center"/>
    </xf>
    <xf numFmtId="0" fontId="0" fillId="34"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horizontal="left"/>
    </xf>
    <xf numFmtId="0" fontId="1" fillId="35" borderId="0" xfId="0" applyFont="1" applyFill="1" applyAlignment="1">
      <alignment horizontal="left"/>
    </xf>
    <xf numFmtId="0" fontId="0" fillId="35" borderId="0" xfId="0" applyFill="1" applyAlignment="1">
      <alignment horizontal="left"/>
    </xf>
    <xf numFmtId="0" fontId="0" fillId="0" borderId="0" xfId="0" applyFill="1" applyAlignment="1">
      <alignment horizontal="center"/>
    </xf>
    <xf numFmtId="0" fontId="0" fillId="33" borderId="0" xfId="0" applyFill="1" applyAlignment="1">
      <alignment horizontal="center"/>
    </xf>
    <xf numFmtId="0" fontId="11" fillId="34" borderId="0" xfId="0" applyFont="1" applyFill="1" applyBorder="1" applyAlignment="1">
      <alignment horizontal="center"/>
    </xf>
    <xf numFmtId="0" fontId="11" fillId="34" borderId="0" xfId="0" applyFont="1" applyFill="1" applyAlignment="1">
      <alignment horizontal="center"/>
    </xf>
    <xf numFmtId="0" fontId="0" fillId="34" borderId="20" xfId="0" applyFont="1" applyFill="1" applyBorder="1" applyAlignment="1">
      <alignment horizontal="center"/>
    </xf>
    <xf numFmtId="0" fontId="0" fillId="34" borderId="21" xfId="0" applyFill="1" applyBorder="1" applyAlignment="1">
      <alignment horizontal="center"/>
    </xf>
    <xf numFmtId="0" fontId="0" fillId="34" borderId="21" xfId="0" applyFont="1" applyFill="1" applyBorder="1" applyAlignment="1">
      <alignment horizontal="center"/>
    </xf>
    <xf numFmtId="0" fontId="1" fillId="34" borderId="22" xfId="0" applyFont="1" applyFill="1" applyBorder="1" applyAlignment="1">
      <alignment horizontal="center"/>
    </xf>
    <xf numFmtId="0" fontId="1" fillId="34" borderId="20" xfId="0" applyFont="1" applyFill="1" applyBorder="1" applyAlignment="1">
      <alignment horizontal="center"/>
    </xf>
    <xf numFmtId="0" fontId="0" fillId="34" borderId="20" xfId="0" applyFill="1" applyBorder="1" applyAlignment="1">
      <alignment horizontal="center"/>
    </xf>
    <xf numFmtId="0" fontId="10" fillId="0" borderId="23" xfId="0" applyFont="1" applyFill="1" applyBorder="1" applyAlignment="1">
      <alignment horizontal="left"/>
    </xf>
    <xf numFmtId="0" fontId="1" fillId="0" borderId="0" xfId="0" applyFont="1" applyFill="1" applyAlignment="1">
      <alignment/>
    </xf>
    <xf numFmtId="0" fontId="1" fillId="34" borderId="0" xfId="0" applyFont="1" applyFill="1" applyAlignment="1">
      <alignment horizontal="center"/>
    </xf>
    <xf numFmtId="0" fontId="1" fillId="34" borderId="15" xfId="0" applyFont="1" applyFill="1" applyBorder="1" applyAlignment="1">
      <alignment horizontal="center"/>
    </xf>
    <xf numFmtId="0" fontId="1" fillId="34"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1</xdr:row>
      <xdr:rowOff>66675</xdr:rowOff>
    </xdr:from>
    <xdr:to>
      <xdr:col>10</xdr:col>
      <xdr:colOff>542925</xdr:colOff>
      <xdr:row>52</xdr:row>
      <xdr:rowOff>47625</xdr:rowOff>
    </xdr:to>
    <xdr:sp>
      <xdr:nvSpPr>
        <xdr:cNvPr id="1" name="TextBox 1"/>
        <xdr:cNvSpPr txBox="1">
          <a:spLocks noChangeArrowheads="1"/>
        </xdr:cNvSpPr>
      </xdr:nvSpPr>
      <xdr:spPr>
        <a:xfrm>
          <a:off x="504825" y="228600"/>
          <a:ext cx="8420100" cy="8239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Instructions for Estimating T Using Feldspar-based Thermometers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see: Putirka, K. (2008) Thermometers and Barometers for Volcanic Systems. In: Putirka, K., Tepley, F. (Eds.), Minerals, Inclusions and Volcanic Processes, Reviews in Mineralogy and Geochemistry, Mineralogical Soc. Am., v. 69, pp. 61-120.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nominal liquid composition in columns G-R, leaving blank any oxides that are not available. The “liquid” could be the composition of a glass, or the whole rock, or some calculated composition – use whatever you think is most likely to be in equilibrium with a given feldspar, whose composition will be entered in columns U – AD. There are no separate input columns for plagioclase or alkali feldspars – they will all be entered in U – AD. The spreadsheet presents calculations for both alkali and plagioclase feldspars, for any given mineral-liquid pair. It is up to you to decide whether the output in columns AF – AM (plagioclase) or in columns AO – AP (alkali feldspar) are most appropriate.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As a rule of thumb, you might consider matching mineral rims to matrix glass and mineral cores to whole rock compositions, at least to start. When using mineral core compositions, I often add or subtract minerals from the whole rock so as to achieve Fe-Mg exchange (i.e., following a cotectic). Be aware that in Column J, all Fe is as FeOt.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In this workbook, most thermometers are P-sensitive and most barometers are T-sensitive. Two equations can be solved simultaneously to arrive at P and T, which is accomplished here by using the output of one model as input for another. To work, you must make certain that under Excel – Preferences – Calculations, that “Iterative” calculations are allowed, otherwise Excel will report a “Circular reference” error.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P-T calculations
</a:t>
          </a:r>
          <a:r>
            <a:rPr lang="en-US" cap="none" sz="1200" b="0" i="0" u="none" baseline="0">
              <a:solidFill>
                <a:srgbClr val="000000"/>
              </a:solidFill>
              <a:latin typeface="Calibri"/>
              <a:ea typeface="Calibri"/>
              <a:cs typeface="Calibri"/>
            </a:rPr>
            <a:t>I have much less faith in the plag-liq barometer than I did in 2005 (this note is being written in 12/15). Because most thermometers are P-sensitive, input of a nominal pressure of equilibration is included, in column C. A plagioclase-liquid barometer is presented in column AK, but this model, though it seems to work well for some subsets of experimental data, is probably not broadly applicable, and should not be considered valid unless independent tests of P are available. Indeed, the Ca-Na exchange on which it is based, is perhaps put to better use as a test for equilibrium, being nearly constant for most bulk compositions over a wide P-T range (see Putirka, 2008, RiMG volume 69, and see later section, but see note of a typographical error in that volume which is corrected here). The barometer in column AK uses the output of column AF (Eqn. 23) as the input for T, which in column CT is converted to T(K). To change the input T, change column CT to be set equal to whatever T is appropriate.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plagioclase feldspars, we present a test for equilibrium by comparing An-Ab exchange. The equilibrium constant is only very slightly sensitive to T. At T&lt;1050</a:t>
          </a:r>
          <a:r>
            <a:rPr lang="en-US" cap="none" sz="1200" b="0" i="0" u="none" baseline="30000">
              <a:solidFill>
                <a:srgbClr val="000000"/>
              </a:solidFill>
              <a:latin typeface="Calibri"/>
              <a:ea typeface="Calibri"/>
              <a:cs typeface="Calibri"/>
            </a:rPr>
            <a:t>o</a:t>
          </a:r>
          <a:r>
            <a:rPr lang="en-US" cap="none" sz="1200" b="0" i="0" u="none" baseline="0">
              <a:solidFill>
                <a:srgbClr val="000000"/>
              </a:solidFill>
              <a:latin typeface="Calibri"/>
              <a:ea typeface="Calibri"/>
              <a:cs typeface="Calibri"/>
            </a:rPr>
            <a:t>C, the value should be about 0.1</a:t>
          </a:r>
          <a:r>
            <a:rPr lang="en-US" cap="none" sz="1200" b="0" i="0" u="none" baseline="0">
              <a:solidFill>
                <a:srgbClr val="000000"/>
              </a:solidFill>
              <a:latin typeface="Calibri"/>
              <a:ea typeface="Calibri"/>
              <a:cs typeface="Calibri"/>
            </a:rPr>
            <a:t>±0.05, otherwise, at T&gt;1050oC it should be 0.28±0.11. See column AQ for the calculation and equilibrium parameters. Please note that these values and relationships correct typographical errors in teh RIMG volume (2008; chapter 2), where the temperatures for the values of the two exchange coefficients are reversed, and similar errors in earlier versions of this spreadsheet.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zoomScale="150" zoomScaleNormal="150" workbookViewId="0" topLeftCell="A17">
      <selection activeCell="A1" sqref="A1"/>
    </sheetView>
  </sheetViews>
  <sheetFormatPr defaultColWidth="11.00390625" defaultRowHeight="12.75"/>
  <sheetData/>
  <sheetProtection/>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DU46"/>
  <sheetViews>
    <sheetView tabSelected="1" zoomScale="125" zoomScaleNormal="125" workbookViewId="0" topLeftCell="A1">
      <selection activeCell="G12" sqref="G11:H12"/>
    </sheetView>
  </sheetViews>
  <sheetFormatPr defaultColWidth="11.00390625" defaultRowHeight="12.75"/>
  <cols>
    <col min="1" max="1" width="23.875" style="2" customWidth="1"/>
    <col min="2" max="2" width="23.00390625" style="3" customWidth="1"/>
    <col min="3" max="3" width="15.125" style="4" customWidth="1"/>
    <col min="4" max="4" width="14.25390625" style="4" customWidth="1"/>
    <col min="5" max="5" width="11.00390625" style="0" customWidth="1"/>
    <col min="6" max="6" width="10.75390625" style="1" customWidth="1"/>
    <col min="7" max="15" width="10.75390625" style="4" customWidth="1"/>
    <col min="16" max="16" width="9.25390625" style="4" customWidth="1"/>
    <col min="17" max="18" width="10.75390625" style="4" customWidth="1"/>
    <col min="19" max="20" width="10.75390625" style="2" customWidth="1"/>
    <col min="21" max="31" width="10.75390625" style="4" customWidth="1"/>
    <col min="32" max="32" width="15.25390625" style="3" customWidth="1"/>
    <col min="33" max="33" width="10.75390625" style="3" customWidth="1"/>
    <col min="34" max="35" width="15.125" style="3" customWidth="1"/>
    <col min="36" max="36" width="10.75390625" style="4" customWidth="1"/>
    <col min="37" max="37" width="13.125" style="3" customWidth="1"/>
    <col min="38" max="38" width="10.75390625" style="3" customWidth="1"/>
    <col min="39" max="39" width="12.00390625" style="2" customWidth="1"/>
    <col min="40" max="42" width="10.75390625" style="2" customWidth="1"/>
    <col min="43" max="43" width="22.125" style="4" customWidth="1"/>
    <col min="44" max="44" width="10.75390625" style="3" customWidth="1"/>
    <col min="45" max="45" width="31.125" style="3" customWidth="1"/>
    <col min="46" max="46" width="29.00390625" style="3" customWidth="1"/>
    <col min="47" max="48" width="10.75390625" style="4" customWidth="1"/>
    <col min="49" max="58" width="10.75390625" style="2" customWidth="1"/>
    <col min="59" max="59" width="5.00390625" style="2" customWidth="1"/>
    <col min="60" max="69" width="10.75390625" style="2" customWidth="1"/>
    <col min="70" max="70" width="4.875" style="2" customWidth="1"/>
    <col min="71" max="79" width="10.75390625" style="2" customWidth="1"/>
    <col min="80" max="80" width="7.125" style="2" customWidth="1"/>
    <col min="81" max="89" width="10.75390625" style="2" customWidth="1"/>
    <col min="90" max="91" width="5.75390625" style="2" customWidth="1"/>
    <col min="92" max="93" width="10.75390625" style="2" customWidth="1"/>
    <col min="94" max="94" width="8.00390625" style="2" customWidth="1"/>
    <col min="95" max="95" width="2.25390625" style="2" customWidth="1"/>
    <col min="96" max="97" width="10.75390625" style="2" customWidth="1"/>
    <col min="98" max="98" width="13.25390625" style="2" customWidth="1"/>
    <col min="99" max="101" width="10.75390625" style="2" customWidth="1"/>
    <col min="102" max="102" width="3.75390625" style="2" customWidth="1"/>
    <col min="103" max="105" width="10.75390625" style="2" customWidth="1"/>
    <col min="106" max="106" width="3.875" style="2" customWidth="1"/>
    <col min="107" max="117" width="10.75390625" style="2" customWidth="1"/>
    <col min="118" max="118" width="12.00390625" style="2" bestFit="1" customWidth="1"/>
    <col min="119" max="119" width="12.75390625" style="2" bestFit="1" customWidth="1"/>
    <col min="120" max="16384" width="10.75390625" style="2" customWidth="1"/>
  </cols>
  <sheetData>
    <row r="1" ht="22.5">
      <c r="A1" s="5" t="s">
        <v>35</v>
      </c>
    </row>
    <row r="2" ht="12.75">
      <c r="A2" s="6"/>
    </row>
    <row r="3" ht="22.5">
      <c r="A3" s="7" t="s">
        <v>119</v>
      </c>
    </row>
    <row r="4" ht="22.5">
      <c r="A4" s="7" t="s">
        <v>120</v>
      </c>
    </row>
    <row r="5" spans="1:109" ht="12.75">
      <c r="A5" s="6"/>
      <c r="AG5" s="1"/>
      <c r="AH5" s="1"/>
      <c r="AI5" s="1"/>
      <c r="AK5" s="1"/>
      <c r="AL5" s="1"/>
      <c r="AO5"/>
      <c r="AP5"/>
      <c r="AQ5" s="53"/>
      <c r="AR5" s="65"/>
      <c r="AS5" s="65"/>
      <c r="AT5" s="65"/>
      <c r="CY5"/>
      <c r="CZ5"/>
      <c r="DA5"/>
      <c r="DE5"/>
    </row>
    <row r="6" spans="1:109" ht="18">
      <c r="A6" s="8" t="s">
        <v>121</v>
      </c>
      <c r="AG6" s="1"/>
      <c r="AH6" s="1"/>
      <c r="AI6" s="1"/>
      <c r="AK6" s="1"/>
      <c r="AL6" s="1"/>
      <c r="AO6"/>
      <c r="AP6"/>
      <c r="AQ6" s="53"/>
      <c r="AR6" s="65"/>
      <c r="AS6" s="65"/>
      <c r="AT6" s="65"/>
      <c r="AW6"/>
      <c r="AX6"/>
      <c r="AY6"/>
      <c r="AZ6"/>
      <c r="BA6"/>
      <c r="BB6"/>
      <c r="BC6"/>
      <c r="BD6"/>
      <c r="BE6"/>
      <c r="BF6"/>
      <c r="CY6"/>
      <c r="CZ6"/>
      <c r="DA6"/>
      <c r="DE6"/>
    </row>
    <row r="7" spans="1:109" ht="18">
      <c r="A7" s="8" t="s">
        <v>123</v>
      </c>
      <c r="AG7" s="1"/>
      <c r="AH7" s="1"/>
      <c r="AI7" s="1"/>
      <c r="AK7" s="1"/>
      <c r="AL7" s="1"/>
      <c r="AO7"/>
      <c r="AP7"/>
      <c r="AQ7" s="53"/>
      <c r="AR7" s="65"/>
      <c r="AS7" s="67" t="s">
        <v>32</v>
      </c>
      <c r="AT7" s="68"/>
      <c r="CY7"/>
      <c r="CZ7"/>
      <c r="DA7"/>
      <c r="DE7"/>
    </row>
    <row r="8" spans="1:109" ht="18">
      <c r="A8" s="8" t="s">
        <v>125</v>
      </c>
      <c r="AG8" s="1"/>
      <c r="AH8" s="1"/>
      <c r="AI8" s="1"/>
      <c r="AK8" s="1"/>
      <c r="AL8" s="1"/>
      <c r="AO8"/>
      <c r="AP8"/>
      <c r="AR8" s="65"/>
      <c r="AS8" s="67" t="s">
        <v>33</v>
      </c>
      <c r="AT8" s="68"/>
      <c r="CY8"/>
      <c r="CZ8"/>
      <c r="DA8"/>
      <c r="DE8"/>
    </row>
    <row r="9" spans="1:109" ht="18">
      <c r="A9" s="8" t="s">
        <v>124</v>
      </c>
      <c r="AG9" s="1"/>
      <c r="AH9" s="1"/>
      <c r="AI9" s="1"/>
      <c r="AL9" s="1"/>
      <c r="AO9"/>
      <c r="AP9"/>
      <c r="AR9" s="65"/>
      <c r="AS9" s="67" t="s">
        <v>34</v>
      </c>
      <c r="AT9" s="68"/>
      <c r="AW9" s="2" t="s">
        <v>91</v>
      </c>
      <c r="DE9"/>
    </row>
    <row r="10" spans="1:125" ht="18">
      <c r="A10" s="8"/>
      <c r="AG10" s="1"/>
      <c r="AH10" s="1"/>
      <c r="AI10" s="1"/>
      <c r="AL10" s="1"/>
      <c r="AO10"/>
      <c r="AP10"/>
      <c r="AQ10" s="76" t="s">
        <v>75</v>
      </c>
      <c r="AR10" s="65"/>
      <c r="AW10" s="2">
        <v>60.08</v>
      </c>
      <c r="AX10" s="2">
        <v>79.9</v>
      </c>
      <c r="AY10" s="2">
        <v>101.96</v>
      </c>
      <c r="AZ10" s="2">
        <v>71.85</v>
      </c>
      <c r="BA10" s="2">
        <v>70.94</v>
      </c>
      <c r="BB10" s="2">
        <v>40.3</v>
      </c>
      <c r="BC10" s="2">
        <v>56.08</v>
      </c>
      <c r="BD10" s="2">
        <v>61.98</v>
      </c>
      <c r="BE10" s="2">
        <v>94.2</v>
      </c>
      <c r="BF10" s="2">
        <f>2*30.97+5*15.9994</f>
        <v>141.937</v>
      </c>
      <c r="DE10"/>
      <c r="DT10" s="2">
        <v>800</v>
      </c>
      <c r="DU10" s="2">
        <f>DT10</f>
        <v>800</v>
      </c>
    </row>
    <row r="11" spans="1:125" ht="18">
      <c r="A11" s="8"/>
      <c r="B11" s="11"/>
      <c r="C11" s="9" t="s">
        <v>61</v>
      </c>
      <c r="D11" s="10"/>
      <c r="F11" s="11"/>
      <c r="G11" s="79" t="s">
        <v>90</v>
      </c>
      <c r="H11" s="26"/>
      <c r="I11" s="27"/>
      <c r="U11" s="79" t="s">
        <v>122</v>
      </c>
      <c r="V11" s="49"/>
      <c r="W11" s="50"/>
      <c r="X11" s="50"/>
      <c r="AF11" s="61" t="s">
        <v>38</v>
      </c>
      <c r="AG11" s="62"/>
      <c r="AH11" s="62"/>
      <c r="AI11" s="62"/>
      <c r="AJ11" s="62"/>
      <c r="AK11" s="62"/>
      <c r="AL11" s="62"/>
      <c r="AM11" s="62"/>
      <c r="AN11" s="62"/>
      <c r="AO11" s="62"/>
      <c r="AP11" s="62"/>
      <c r="AQ11" s="77" t="s">
        <v>76</v>
      </c>
      <c r="AR11" s="66"/>
      <c r="AS11" s="61" t="s">
        <v>31</v>
      </c>
      <c r="AT11" s="64"/>
      <c r="DE11"/>
      <c r="DT11" s="2">
        <v>1000</v>
      </c>
      <c r="DU11" s="2">
        <f>DT11</f>
        <v>1000</v>
      </c>
    </row>
    <row r="12" spans="1:125" ht="18">
      <c r="A12" s="8"/>
      <c r="B12" s="11"/>
      <c r="C12" s="12" t="s">
        <v>62</v>
      </c>
      <c r="D12" s="13"/>
      <c r="F12" s="11"/>
      <c r="G12" s="3"/>
      <c r="U12" s="3"/>
      <c r="AF12" s="59" t="s">
        <v>40</v>
      </c>
      <c r="AG12" s="57"/>
      <c r="AH12" s="57"/>
      <c r="AI12" s="57"/>
      <c r="AJ12" s="58"/>
      <c r="AK12" s="57"/>
      <c r="AL12" s="57"/>
      <c r="AM12" s="57"/>
      <c r="AN12" s="57"/>
      <c r="AO12" s="57"/>
      <c r="AP12" s="57"/>
      <c r="AQ12" s="74" t="s">
        <v>134</v>
      </c>
      <c r="AS12" s="59" t="s">
        <v>40</v>
      </c>
      <c r="AT12" s="57"/>
      <c r="DL12"/>
      <c r="DM12"/>
      <c r="DN12"/>
      <c r="DO12"/>
      <c r="DT12" s="2">
        <v>1200</v>
      </c>
      <c r="DU12" s="2">
        <f>DT12</f>
        <v>1200</v>
      </c>
    </row>
    <row r="13" spans="1:125" ht="15">
      <c r="A13" s="6" t="s">
        <v>63</v>
      </c>
      <c r="B13" s="16"/>
      <c r="C13" s="21" t="s">
        <v>21</v>
      </c>
      <c r="D13" s="14" t="s">
        <v>64</v>
      </c>
      <c r="F13" s="16"/>
      <c r="G13" s="3"/>
      <c r="U13" s="3"/>
      <c r="AF13" s="57" t="s">
        <v>117</v>
      </c>
      <c r="AG13" s="57"/>
      <c r="AH13" s="57"/>
      <c r="AI13" s="57"/>
      <c r="AJ13" s="71" t="s">
        <v>39</v>
      </c>
      <c r="AK13" s="57"/>
      <c r="AL13" s="57"/>
      <c r="AM13" s="57" t="s">
        <v>84</v>
      </c>
      <c r="AN13" s="57"/>
      <c r="AO13" s="57"/>
      <c r="AP13" s="57"/>
      <c r="AQ13" s="78" t="s">
        <v>133</v>
      </c>
      <c r="AS13" s="57"/>
      <c r="AT13" s="57"/>
      <c r="AU13" s="52"/>
      <c r="AW13" s="2" t="s">
        <v>129</v>
      </c>
      <c r="BH13" s="28" t="s">
        <v>129</v>
      </c>
      <c r="BI13" s="29"/>
      <c r="BJ13" s="29"/>
      <c r="BK13" s="29"/>
      <c r="BL13" s="29"/>
      <c r="BM13" s="29"/>
      <c r="BN13" s="29"/>
      <c r="BO13" s="29"/>
      <c r="BP13" s="29"/>
      <c r="BQ13" s="30"/>
      <c r="BS13" s="2" t="s">
        <v>41</v>
      </c>
      <c r="CC13" s="28" t="s">
        <v>41</v>
      </c>
      <c r="CD13" s="29"/>
      <c r="CE13" s="29"/>
      <c r="CF13" s="29"/>
      <c r="CG13" s="29"/>
      <c r="CH13" s="29"/>
      <c r="CI13" s="29"/>
      <c r="CJ13" s="29"/>
      <c r="CK13" s="30"/>
      <c r="CN13" s="40" t="s">
        <v>42</v>
      </c>
      <c r="CO13" s="41"/>
      <c r="CP13" s="42"/>
      <c r="DI13" s="80" t="s">
        <v>51</v>
      </c>
      <c r="DT13" s="2">
        <v>1400</v>
      </c>
      <c r="DU13" s="2">
        <f>DT13</f>
        <v>1400</v>
      </c>
    </row>
    <row r="14" spans="1:113" ht="14.25">
      <c r="A14" s="17"/>
      <c r="B14" s="18"/>
      <c r="C14" s="18" t="s">
        <v>65</v>
      </c>
      <c r="D14" s="19"/>
      <c r="F14" s="18" t="s">
        <v>66</v>
      </c>
      <c r="G14" s="22" t="s">
        <v>69</v>
      </c>
      <c r="H14" s="23"/>
      <c r="I14" s="23"/>
      <c r="J14" s="23"/>
      <c r="K14" s="23"/>
      <c r="L14" s="23"/>
      <c r="M14" s="23"/>
      <c r="N14" s="23"/>
      <c r="O14" s="23"/>
      <c r="P14" s="23"/>
      <c r="Q14" s="23"/>
      <c r="R14" s="23"/>
      <c r="S14" s="24" t="s">
        <v>70</v>
      </c>
      <c r="U14" s="22" t="s">
        <v>43</v>
      </c>
      <c r="V14" s="51"/>
      <c r="W14" s="51"/>
      <c r="X14" s="51"/>
      <c r="Y14" s="51"/>
      <c r="Z14" s="51"/>
      <c r="AA14" s="51"/>
      <c r="AB14" s="51"/>
      <c r="AC14" s="51"/>
      <c r="AD14" s="51"/>
      <c r="AE14" s="15"/>
      <c r="AF14" s="57" t="s">
        <v>39</v>
      </c>
      <c r="AG14" s="57">
        <v>2005</v>
      </c>
      <c r="AH14" s="57" t="s">
        <v>99</v>
      </c>
      <c r="AI14" s="57" t="s">
        <v>18</v>
      </c>
      <c r="AJ14" s="72" t="s">
        <v>28</v>
      </c>
      <c r="AK14" s="57" t="s">
        <v>46</v>
      </c>
      <c r="AL14" s="57" t="s">
        <v>50</v>
      </c>
      <c r="AM14" s="58" t="s">
        <v>85</v>
      </c>
      <c r="AN14" s="58" t="s">
        <v>86</v>
      </c>
      <c r="AO14" s="58" t="s">
        <v>87</v>
      </c>
      <c r="AP14" s="81" t="s">
        <v>88</v>
      </c>
      <c r="AQ14" s="75" t="s">
        <v>48</v>
      </c>
      <c r="AS14" s="58" t="s">
        <v>29</v>
      </c>
      <c r="AT14" s="58" t="s">
        <v>30</v>
      </c>
      <c r="AU14" s="15"/>
      <c r="AV14" s="15"/>
      <c r="AW14" s="2" t="s">
        <v>130</v>
      </c>
      <c r="BH14" s="31" t="s">
        <v>98</v>
      </c>
      <c r="BI14" s="32"/>
      <c r="BJ14" s="32"/>
      <c r="BK14" s="32"/>
      <c r="BL14" s="32"/>
      <c r="BM14" s="32"/>
      <c r="BN14" s="32"/>
      <c r="BO14" s="32"/>
      <c r="BP14" s="32"/>
      <c r="BQ14" s="33"/>
      <c r="BS14" s="2" t="s">
        <v>130</v>
      </c>
      <c r="CC14" s="31" t="s">
        <v>131</v>
      </c>
      <c r="CD14" s="32"/>
      <c r="CE14" s="32"/>
      <c r="CF14" s="32"/>
      <c r="CG14" s="32"/>
      <c r="CH14" s="32"/>
      <c r="CI14" s="32"/>
      <c r="CJ14" s="32"/>
      <c r="CK14" s="33"/>
      <c r="CN14" s="43"/>
      <c r="CO14" s="44"/>
      <c r="CP14" s="45"/>
      <c r="CZ14" s="2" t="s">
        <v>47</v>
      </c>
      <c r="DI14" s="80" t="s">
        <v>53</v>
      </c>
    </row>
    <row r="15" spans="1:120" ht="15">
      <c r="A15" s="17" t="s">
        <v>67</v>
      </c>
      <c r="B15" s="18" t="s">
        <v>68</v>
      </c>
      <c r="C15" s="20" t="s">
        <v>1</v>
      </c>
      <c r="D15" s="19" t="s">
        <v>0</v>
      </c>
      <c r="F15" s="18" t="s">
        <v>132</v>
      </c>
      <c r="G15" s="20" t="s">
        <v>71</v>
      </c>
      <c r="H15" s="20" t="s">
        <v>72</v>
      </c>
      <c r="I15" s="20" t="s">
        <v>73</v>
      </c>
      <c r="J15" s="20" t="s">
        <v>77</v>
      </c>
      <c r="K15" s="20" t="s">
        <v>78</v>
      </c>
      <c r="L15" s="20" t="s">
        <v>79</v>
      </c>
      <c r="M15" s="20" t="s">
        <v>80</v>
      </c>
      <c r="N15" s="20" t="s">
        <v>81</v>
      </c>
      <c r="O15" s="20" t="s">
        <v>82</v>
      </c>
      <c r="P15" s="20" t="s">
        <v>89</v>
      </c>
      <c r="Q15" s="20" t="s">
        <v>128</v>
      </c>
      <c r="R15" s="20" t="s">
        <v>17</v>
      </c>
      <c r="S15" s="24" t="s">
        <v>118</v>
      </c>
      <c r="U15" s="20" t="s">
        <v>71</v>
      </c>
      <c r="V15" s="20" t="s">
        <v>72</v>
      </c>
      <c r="W15" s="20" t="s">
        <v>73</v>
      </c>
      <c r="X15" s="20" t="s">
        <v>77</v>
      </c>
      <c r="Y15" s="20" t="s">
        <v>78</v>
      </c>
      <c r="Z15" s="20" t="s">
        <v>79</v>
      </c>
      <c r="AA15" s="20" t="s">
        <v>80</v>
      </c>
      <c r="AB15" s="20" t="s">
        <v>81</v>
      </c>
      <c r="AC15" s="20" t="s">
        <v>82</v>
      </c>
      <c r="AD15" s="20" t="s">
        <v>89</v>
      </c>
      <c r="AE15" s="52"/>
      <c r="AF15" s="62" t="s">
        <v>11</v>
      </c>
      <c r="AG15" s="62" t="s">
        <v>16</v>
      </c>
      <c r="AH15" s="62" t="s">
        <v>11</v>
      </c>
      <c r="AI15" s="62" t="s">
        <v>44</v>
      </c>
      <c r="AJ15" s="62" t="s">
        <v>44</v>
      </c>
      <c r="AK15" s="62" t="s">
        <v>45</v>
      </c>
      <c r="AL15" s="62" t="s">
        <v>16</v>
      </c>
      <c r="AM15" s="82" t="s">
        <v>2</v>
      </c>
      <c r="AN15" s="82" t="s">
        <v>3</v>
      </c>
      <c r="AO15" s="82" t="s">
        <v>4</v>
      </c>
      <c r="AP15" s="83" t="s">
        <v>83</v>
      </c>
      <c r="AQ15" s="73" t="s">
        <v>74</v>
      </c>
      <c r="AR15" s="66"/>
      <c r="AS15" s="63" t="s">
        <v>11</v>
      </c>
      <c r="AT15" s="63" t="s">
        <v>11</v>
      </c>
      <c r="AV15" s="52" t="s">
        <v>59</v>
      </c>
      <c r="AW15" s="2" t="s">
        <v>71</v>
      </c>
      <c r="AX15" s="2" t="s">
        <v>72</v>
      </c>
      <c r="AY15" s="2" t="s">
        <v>92</v>
      </c>
      <c r="AZ15" s="2" t="s">
        <v>93</v>
      </c>
      <c r="BA15" s="2" t="s">
        <v>78</v>
      </c>
      <c r="BB15" s="2" t="s">
        <v>79</v>
      </c>
      <c r="BC15" s="2" t="s">
        <v>80</v>
      </c>
      <c r="BD15" s="2" t="s">
        <v>94</v>
      </c>
      <c r="BE15" s="2" t="s">
        <v>95</v>
      </c>
      <c r="BF15" s="2" t="s">
        <v>96</v>
      </c>
      <c r="BG15" s="2" t="s">
        <v>97</v>
      </c>
      <c r="BH15" s="34" t="s">
        <v>71</v>
      </c>
      <c r="BI15" s="35" t="s">
        <v>72</v>
      </c>
      <c r="BJ15" s="35" t="s">
        <v>92</v>
      </c>
      <c r="BK15" s="35" t="s">
        <v>93</v>
      </c>
      <c r="BL15" s="35" t="s">
        <v>78</v>
      </c>
      <c r="BM15" s="35" t="s">
        <v>79</v>
      </c>
      <c r="BN15" s="35" t="s">
        <v>80</v>
      </c>
      <c r="BO15" s="35" t="s">
        <v>94</v>
      </c>
      <c r="BP15" s="35" t="s">
        <v>95</v>
      </c>
      <c r="BQ15" s="36" t="s">
        <v>96</v>
      </c>
      <c r="BS15" s="34" t="s">
        <v>71</v>
      </c>
      <c r="BT15" s="35" t="s">
        <v>72</v>
      </c>
      <c r="BU15" s="35" t="s">
        <v>92</v>
      </c>
      <c r="BV15" s="35" t="s">
        <v>93</v>
      </c>
      <c r="BW15" s="35" t="s">
        <v>78</v>
      </c>
      <c r="BX15" s="35" t="s">
        <v>79</v>
      </c>
      <c r="BY15" s="35" t="s">
        <v>80</v>
      </c>
      <c r="BZ15" s="35" t="s">
        <v>94</v>
      </c>
      <c r="CA15" s="35" t="s">
        <v>95</v>
      </c>
      <c r="CB15" s="32" t="s">
        <v>97</v>
      </c>
      <c r="CC15" s="37" t="s">
        <v>71</v>
      </c>
      <c r="CD15" s="38" t="s">
        <v>72</v>
      </c>
      <c r="CE15" s="38" t="s">
        <v>92</v>
      </c>
      <c r="CF15" s="38" t="s">
        <v>93</v>
      </c>
      <c r="CG15" s="38" t="s">
        <v>78</v>
      </c>
      <c r="CH15" s="38" t="s">
        <v>79</v>
      </c>
      <c r="CI15" s="38" t="s">
        <v>80</v>
      </c>
      <c r="CJ15" s="38" t="s">
        <v>94</v>
      </c>
      <c r="CK15" s="39" t="s">
        <v>95</v>
      </c>
      <c r="CN15" s="46" t="s">
        <v>2</v>
      </c>
      <c r="CO15" s="47" t="s">
        <v>3</v>
      </c>
      <c r="CP15" s="48" t="s">
        <v>4</v>
      </c>
      <c r="CR15" s="2" t="s">
        <v>5</v>
      </c>
      <c r="CS15" s="2" t="s">
        <v>6</v>
      </c>
      <c r="CT15" s="2" t="s">
        <v>7</v>
      </c>
      <c r="CU15" s="2" t="s">
        <v>8</v>
      </c>
      <c r="CV15" s="2" t="s">
        <v>9</v>
      </c>
      <c r="CW15" s="2" t="s">
        <v>10</v>
      </c>
      <c r="CY15" s="2" t="s">
        <v>12</v>
      </c>
      <c r="CZ15" s="2" t="s">
        <v>11</v>
      </c>
      <c r="DA15" s="2" t="s">
        <v>13</v>
      </c>
      <c r="DC15" s="2" t="s">
        <v>14</v>
      </c>
      <c r="DD15" s="2" t="s">
        <v>15</v>
      </c>
      <c r="DI15" s="2" t="s">
        <v>54</v>
      </c>
      <c r="DJ15" s="2" t="s">
        <v>55</v>
      </c>
      <c r="DK15" s="2" t="s">
        <v>58</v>
      </c>
      <c r="DL15" s="2" t="s">
        <v>52</v>
      </c>
      <c r="DM15" s="2" t="s">
        <v>56</v>
      </c>
      <c r="DN15" s="2" t="s">
        <v>57</v>
      </c>
      <c r="DO15" s="80" t="s">
        <v>60</v>
      </c>
      <c r="DP15" s="2" t="s">
        <v>37</v>
      </c>
    </row>
    <row r="16" spans="1:120" ht="12.75">
      <c r="A16" s="2" t="s">
        <v>19</v>
      </c>
      <c r="B16" s="3" t="s">
        <v>20</v>
      </c>
      <c r="C16" s="25">
        <v>1</v>
      </c>
      <c r="D16" s="69">
        <v>1100</v>
      </c>
      <c r="F16" s="3">
        <v>4068</v>
      </c>
      <c r="G16" s="25">
        <v>49.1</v>
      </c>
      <c r="H16" s="25">
        <v>3.22</v>
      </c>
      <c r="I16" s="25">
        <v>14.4</v>
      </c>
      <c r="J16" s="25">
        <v>14.8</v>
      </c>
      <c r="K16" s="25">
        <v>0.14</v>
      </c>
      <c r="L16" s="25">
        <v>3.2</v>
      </c>
      <c r="M16" s="25">
        <v>6.72</v>
      </c>
      <c r="N16" s="25">
        <v>3.34</v>
      </c>
      <c r="O16" s="25">
        <v>1.7</v>
      </c>
      <c r="P16" s="25">
        <v>0</v>
      </c>
      <c r="Q16" s="25">
        <v>1.13</v>
      </c>
      <c r="R16" s="25">
        <v>0</v>
      </c>
      <c r="S16" s="2">
        <f>SUM(G16:Q16)</f>
        <v>97.75</v>
      </c>
      <c r="U16" s="25">
        <v>57.3</v>
      </c>
      <c r="V16" s="25">
        <v>0.09</v>
      </c>
      <c r="W16" s="25">
        <v>26.6</v>
      </c>
      <c r="X16" s="25">
        <v>0.43</v>
      </c>
      <c r="Y16" s="25">
        <v>0</v>
      </c>
      <c r="Z16" s="25">
        <v>0.03</v>
      </c>
      <c r="AA16" s="25">
        <v>8.33</v>
      </c>
      <c r="AB16" s="25">
        <v>6.11</v>
      </c>
      <c r="AC16" s="25">
        <v>0.49</v>
      </c>
      <c r="AD16" s="25">
        <v>0</v>
      </c>
      <c r="AF16" s="55">
        <f>10^4/(6.12+0.257*LN(CN16/(BH16^2*BJ16^2*BN16))-3.166*BN16-3.137*CR16+1.216*CO16^2-2.475*10^-2*C16*10+0.2166*R16)-273.15</f>
        <v>1159.8258469502703</v>
      </c>
      <c r="AG16" s="55">
        <f aca="true" t="shared" si="0" ref="AG16:AG43">-273.15+(10^4/(8.759-6.396*BN16+0.2147*R16+1.221*BH16^3-1.751*10^-2*DA16-8.043*BJ16))</f>
        <v>1168.190118543875</v>
      </c>
      <c r="AH16" s="55">
        <f aca="true" t="shared" si="1" ref="AH16:AH43">-273.15+(10^4/(6.4706+0.3128*CS16-8.103*BH16+4.872*BP16+8.661*BH16^2+1.5346*CO16^2-3.341*10^-2*C16*10+0.18047*R16))</f>
        <v>1163.7619506266578</v>
      </c>
      <c r="AI16" s="55">
        <f>25.95-0.0032*AH16*CS16-18.9*BP16+14.5*BM16-40.3*BN16+5.7*CN16^2+0.108*C16*10</f>
        <v>-0.05332105253572905</v>
      </c>
      <c r="AJ16" s="55">
        <f aca="true" t="shared" si="2" ref="AJ16:AJ43">24.757-2.26*10^-3*(AH16+273.15)*CS16-3.847*AN16+1.927*AM16/(BN16/(BN16+BO16))</f>
        <v>2.200919354634995</v>
      </c>
      <c r="AK16" s="55">
        <f>-42.2+(4.94*(10^-2)*CY16)+(1.16*(10^-2)*CY16)*CT16-19.6*LN(CO16)-382.3*BH16^2+514.2*BH16^3-139.8*BN16+287.2*BO16+163.9*BP16</f>
        <v>9.57061339549075</v>
      </c>
      <c r="AL16" s="55">
        <f aca="true" t="shared" si="3" ref="AL16:AL43">-273.15+10^4/(10.86-9.7654*BH16+4.241*BN16-55.56*BN16*BJ16+37.5*BP16*BJ16+11.206*BH16^3-3.151*10^-2*C16*10+0.1709*R16)</f>
        <v>1179.7353593641546</v>
      </c>
      <c r="AM16" s="56">
        <f aca="true" t="shared" si="4" ref="AM16:AM43">EXP(-3.485+22.93*BN16+0.0805*R16+1.0925*BN16/(BN16+BO16)+13.11*BJ16/(BJ16+BH16)+5.59258*BH16^3-38.786*DA16/(CY16)-125.04*BN16*BJ16+8.958*BH16*BP16-2589.27/(CY16))</f>
        <v>0.4683801776207447</v>
      </c>
      <c r="AN16" s="56">
        <f aca="true" t="shared" si="5" ref="AN16:AN43">EXP(-2.748-0.1553*R16+1.017*DD16-1.997*BH16^3+54.556*DA16/CY16-67.878*BP16*BJ16-99.03*BN16*BJ16+4175.307/CY16)</f>
        <v>0.5239885717978953</v>
      </c>
      <c r="AO16" s="56">
        <f aca="true" t="shared" si="6" ref="AO16:AO43">EXP(19.42-12.5*BM16-161.4*BO16-16.65*BN16/(BN16+BO16)-528.1*BP16*BJ16-19.38*BH16^3+168.2*BH16*BO16-1951.2*BN16*BP16-10190/CY16)</f>
        <v>0.00012154943360957369</v>
      </c>
      <c r="AP16" s="56">
        <f aca="true" t="shared" si="7" ref="AP16:AP43">SUM(AM16:AO16)</f>
        <v>0.9924902988522495</v>
      </c>
      <c r="AQ16" s="56">
        <f>CO16*BJ16*BN16/(CN16*BO16*BH16)</f>
        <v>0.5100703838895322</v>
      </c>
      <c r="AR16" s="3">
        <f>(CI16/CJ16)/(BN16/BO16)</f>
        <v>0.677611838516094</v>
      </c>
      <c r="AS16" s="55">
        <f aca="true" t="shared" si="8" ref="AS16:AS43">10^4/(17.3-1.03*LN(CO16/(BO16*BJ16*BH16^3))-200*BN16-2.42*BO16-29.8*BP16+13500*(BN16-0.0037)^2-550*(BP16-0.056)*(BO16-0.089)-0.078*C16/10)-273.15</f>
        <v>-92.34039701280685</v>
      </c>
      <c r="AT16" s="55">
        <f aca="true" t="shared" si="9" ref="AT16:AT43">10^4/(14.6+0.055*R16-0.06*C16/10-99.6*BO16*BJ16-2313*BN16*BJ16+395*BP16*BJ16-151*BP16*BH16+15037*BN16^2)-273.15</f>
        <v>-108.24022095677489</v>
      </c>
      <c r="AU16" s="54">
        <f>CI16*BO16/(CJ16*BN16)</f>
        <v>0.6776118385160939</v>
      </c>
      <c r="AV16" s="4">
        <f>BC16/(BC16+BD16)</f>
        <v>0.5264758822934574</v>
      </c>
      <c r="AW16" s="2">
        <f aca="true" t="shared" si="10" ref="AW16:AW43">G16/AW$10</f>
        <v>0.8172436750998668</v>
      </c>
      <c r="AX16" s="2">
        <f aca="true" t="shared" si="11" ref="AX16:AX43">H16/AX$10</f>
        <v>0.04030037546933667</v>
      </c>
      <c r="AY16" s="2">
        <f aca="true" t="shared" si="12" ref="AY16:AY43">I16*2/AY$10</f>
        <v>0.2824637112593174</v>
      </c>
      <c r="AZ16" s="2">
        <f aca="true" t="shared" si="13" ref="AZ16:AZ43">J16/AZ$10</f>
        <v>0.2059846903270703</v>
      </c>
      <c r="BA16" s="2">
        <f aca="true" t="shared" si="14" ref="BA16:BA43">K16/BA$10</f>
        <v>0.0019734987313222443</v>
      </c>
      <c r="BB16" s="2">
        <f aca="true" t="shared" si="15" ref="BB16:BB43">L16/BB$10</f>
        <v>0.07940446650124071</v>
      </c>
      <c r="BC16" s="2">
        <f aca="true" t="shared" si="16" ref="BC16:BC43">M16/BC$10</f>
        <v>0.11982881597717546</v>
      </c>
      <c r="BD16" s="2">
        <f aca="true" t="shared" si="17" ref="BD16:BD43">N16*2/BD$10</f>
        <v>0.10777670216198774</v>
      </c>
      <c r="BE16" s="2">
        <f aca="true" t="shared" si="18" ref="BE16:BE43">O16*2/BE$10</f>
        <v>0.036093418259023353</v>
      </c>
      <c r="BF16" s="2">
        <f aca="true" t="shared" si="19" ref="BF16:BF43">Q16*2/BF$10</f>
        <v>0.015922557190866368</v>
      </c>
      <c r="BG16" s="2">
        <f aca="true" t="shared" si="20" ref="BG16:BG24">SUM(AW16:BF16)</f>
        <v>1.7069919109772071</v>
      </c>
      <c r="BH16" s="2">
        <f aca="true" t="shared" si="21" ref="BH16:BQ21">AW16/$BG16</f>
        <v>0.4787624767548059</v>
      </c>
      <c r="BI16" s="2">
        <f t="shared" si="21"/>
        <v>0.023609002017042826</v>
      </c>
      <c r="BJ16" s="2">
        <f t="shared" si="21"/>
        <v>0.16547454586215027</v>
      </c>
      <c r="BK16" s="2">
        <f t="shared" si="21"/>
        <v>0.12067115784347776</v>
      </c>
      <c r="BL16" s="2">
        <f t="shared" si="21"/>
        <v>0.0011561265865592</v>
      </c>
      <c r="BM16" s="2">
        <f t="shared" si="21"/>
        <v>0.04651718967770842</v>
      </c>
      <c r="BN16" s="2">
        <f t="shared" si="21"/>
        <v>0.07019881887347472</v>
      </c>
      <c r="BO16" s="2">
        <f t="shared" si="21"/>
        <v>0.06313837896296091</v>
      </c>
      <c r="BP16" s="2">
        <f t="shared" si="21"/>
        <v>0.021144457701829905</v>
      </c>
      <c r="BQ16" s="2">
        <f t="shared" si="21"/>
        <v>0.009327845719990045</v>
      </c>
      <c r="BR16" s="2">
        <f aca="true" t="shared" si="22" ref="BR16:BR24">SUM(BH16:BQ16)</f>
        <v>1</v>
      </c>
      <c r="BS16" s="2">
        <f aca="true" t="shared" si="23" ref="BS16:BS43">U16/AW$10</f>
        <v>0.953728362183755</v>
      </c>
      <c r="BT16" s="2">
        <f aca="true" t="shared" si="24" ref="BT16:BT43">V16/AX$10</f>
        <v>0.0011264080100125155</v>
      </c>
      <c r="BU16" s="2">
        <f aca="true" t="shared" si="25" ref="BU16:BU43">W16*2/AY$10</f>
        <v>0.5217732444095724</v>
      </c>
      <c r="BV16" s="2">
        <f aca="true" t="shared" si="26" ref="BV16:BV43">X16/AZ$10</f>
        <v>0.005984690327070286</v>
      </c>
      <c r="BW16" s="2">
        <f aca="true" t="shared" si="27" ref="BW16:BW43">Y16/BA$10</f>
        <v>0</v>
      </c>
      <c r="BX16" s="2">
        <f aca="true" t="shared" si="28" ref="BX16:BX43">Z16/BB$10</f>
        <v>0.0007444168734491315</v>
      </c>
      <c r="BY16" s="2">
        <f aca="true" t="shared" si="29" ref="BY16:BY43">AA16/BC$10</f>
        <v>0.14853780313837375</v>
      </c>
      <c r="BZ16" s="2">
        <f aca="true" t="shared" si="30" ref="BZ16:BZ43">AB16*2/BD$10</f>
        <v>0.19716037431429495</v>
      </c>
      <c r="CA16" s="2">
        <f aca="true" t="shared" si="31" ref="CA16:CA43">AC16*2/BE$10</f>
        <v>0.010403397027600849</v>
      </c>
      <c r="CB16" s="2">
        <f aca="true" t="shared" si="32" ref="CB16:CB24">SUM(BS16:CA16)</f>
        <v>1.839458696284129</v>
      </c>
      <c r="CC16" s="2">
        <f aca="true" t="shared" si="33" ref="CC16:CK24">BS16/$CB16</f>
        <v>0.5184831625251339</v>
      </c>
      <c r="CD16" s="2">
        <f t="shared" si="33"/>
        <v>0.0006123584140747278</v>
      </c>
      <c r="CE16" s="2">
        <f t="shared" si="33"/>
        <v>0.2836558632512929</v>
      </c>
      <c r="CF16" s="2">
        <f t="shared" si="33"/>
        <v>0.003253506229392318</v>
      </c>
      <c r="CG16" s="2">
        <f t="shared" si="33"/>
        <v>0</v>
      </c>
      <c r="CH16" s="2">
        <f t="shared" si="33"/>
        <v>0.0004046934432139847</v>
      </c>
      <c r="CI16" s="2">
        <f t="shared" si="33"/>
        <v>0.08075082274934109</v>
      </c>
      <c r="CJ16" s="2">
        <f t="shared" si="33"/>
        <v>0.10718390943627956</v>
      </c>
      <c r="CK16" s="2">
        <f t="shared" si="33"/>
        <v>0.005655683951271448</v>
      </c>
      <c r="CL16" s="2">
        <f aca="true" t="shared" si="34" ref="CL16:CL24">SUM(CC16:CK16)</f>
        <v>1</v>
      </c>
      <c r="CM16" s="2">
        <f>100*CN16</f>
        <v>41.712200614435574</v>
      </c>
      <c r="CN16" s="2">
        <f aca="true" t="shared" si="35" ref="CN16:CN24">CI16/(CI16+CJ16+CK16)</f>
        <v>0.41712200614435574</v>
      </c>
      <c r="CO16" s="2">
        <f aca="true" t="shared" si="36" ref="CO16:CO24">CJ16/(CI16+CJ16+CK16)</f>
        <v>0.55366330407848</v>
      </c>
      <c r="CP16" s="2">
        <f aca="true" t="shared" si="37" ref="CP16:CP24">1-CN16-CO16</f>
        <v>0.02921468977716435</v>
      </c>
      <c r="CR16" s="2">
        <f aca="true" t="shared" si="38" ref="CR16:CR24">BJ16/(BJ16+BH16)</f>
        <v>0.25685351827496017</v>
      </c>
      <c r="CS16" s="2">
        <f aca="true" t="shared" si="39" ref="CS16:CS24">LN(CN16/(BH16^2*BJ16^2*BN16))</f>
        <v>6.853024424263394</v>
      </c>
      <c r="CT16" s="2">
        <f aca="true" t="shared" si="40" ref="CT16:CT24">LN((CO16*BJ16*BN16)/(BO16*BH16*CN16))</f>
        <v>-0.6732065551594083</v>
      </c>
      <c r="CU16" s="2">
        <f aca="true" t="shared" si="41" ref="CU16:CU24">(CF16/CH16)/(BK16/BM16)</f>
        <v>3.0990990990990994</v>
      </c>
      <c r="CV16" s="2">
        <f aca="true" t="shared" si="42" ref="CV16:CV24">BM16+BK16+BN16+BL16</f>
        <v>0.2385432929812201</v>
      </c>
      <c r="CW16" s="2">
        <f aca="true" t="shared" si="43" ref="CW16:CW24">(7/2)*LN(1-BJ16)+7*LN(1-BI16)</f>
        <v>-0.8003672400291102</v>
      </c>
      <c r="CY16" s="2">
        <f aca="true" t="shared" si="44" ref="CY16:CY43">273.15+AF16</f>
        <v>1432.9758469502704</v>
      </c>
      <c r="CZ16" s="60">
        <f>AH16</f>
        <v>1163.7619506266578</v>
      </c>
      <c r="DA16" s="2">
        <f>10*C16</f>
        <v>10</v>
      </c>
      <c r="DC16" s="2">
        <f aca="true" t="shared" si="45" ref="DC16:DC43">10^4/(8.588-0.0529*DA16+0.29484*R16+0.50575*CS16-15.9387*BH16+7.4446*BP16+16.46*BH16^2+2.58716*CO16^2)</f>
        <v>1160.4417566995785</v>
      </c>
      <c r="DD16" s="2">
        <f aca="true" t="shared" si="46" ref="DD16:DD24">BM16/40.3/(BM16/40.3+BK16/71.85)</f>
        <v>0.40732903438589196</v>
      </c>
      <c r="DE16" s="2">
        <f aca="true" t="shared" si="47" ref="DE16:DE27">CN16/(BN16/(BN16+BO16))</f>
        <v>0.7922908155398697</v>
      </c>
      <c r="DF16" s="2">
        <f aca="true" t="shared" si="48" ref="DF16:DF24">E16</f>
        <v>0</v>
      </c>
      <c r="DG16" s="2">
        <f aca="true" t="shared" si="49" ref="DG16:DG27">CO16*BJ16*BN16/(BO16*BH16*CN16)</f>
        <v>0.5100703838895322</v>
      </c>
      <c r="DI16" s="2">
        <f>BO16*BH16/(BN16*BJ16)</f>
        <v>2.6022710462436165</v>
      </c>
      <c r="DJ16" s="2">
        <f>BN16+BJ16-BH16-BO16</f>
        <v>-0.3062274909821418</v>
      </c>
      <c r="DK16" s="2">
        <f aca="true" t="shared" si="50" ref="DK16:DK43">CO16/CN16</f>
        <v>1.3273413915420962</v>
      </c>
      <c r="DL16">
        <f>-10.34*10^-3</f>
        <v>-0.01034</v>
      </c>
      <c r="DM16">
        <f>17.24+LN(DI16/DK16)</f>
        <v>17.913206555159405</v>
      </c>
      <c r="DN16">
        <f>1.29*10^4*DJ16</f>
        <v>-3950.334633669629</v>
      </c>
      <c r="DO16">
        <f>(-DM16-SQRT(DM16^2-4*DL16*DN16))/(2*DL16)</f>
        <v>1473.065404008598</v>
      </c>
      <c r="DP16" s="2">
        <f>DO16-273.15</f>
        <v>1199.9154040085982</v>
      </c>
    </row>
    <row r="17" spans="1:120" ht="12.75">
      <c r="A17" s="2" t="s">
        <v>19</v>
      </c>
      <c r="B17" s="3" t="s">
        <v>22</v>
      </c>
      <c r="C17" s="25">
        <v>1</v>
      </c>
      <c r="D17" s="69">
        <v>1130</v>
      </c>
      <c r="F17" s="3">
        <v>4067</v>
      </c>
      <c r="G17" s="25">
        <v>49.2</v>
      </c>
      <c r="H17" s="25">
        <v>3.89</v>
      </c>
      <c r="I17" s="25">
        <v>15.3</v>
      </c>
      <c r="J17" s="25">
        <v>13.7</v>
      </c>
      <c r="K17" s="25">
        <v>0.12</v>
      </c>
      <c r="L17" s="25">
        <v>3.88</v>
      </c>
      <c r="M17" s="25">
        <v>6.76</v>
      </c>
      <c r="N17" s="25">
        <v>3.44</v>
      </c>
      <c r="O17" s="25">
        <v>1.22</v>
      </c>
      <c r="P17" s="25">
        <v>0</v>
      </c>
      <c r="Q17" s="25">
        <v>0.83</v>
      </c>
      <c r="R17" s="25">
        <v>0</v>
      </c>
      <c r="S17" s="2">
        <f aca="true" t="shared" si="51" ref="S17:S43">SUM(G17:Q17)</f>
        <v>98.34</v>
      </c>
      <c r="U17" s="25">
        <v>56.5</v>
      </c>
      <c r="V17" s="25">
        <v>0.12</v>
      </c>
      <c r="W17" s="25">
        <v>26.9</v>
      </c>
      <c r="X17" s="25">
        <v>0.47</v>
      </c>
      <c r="Y17" s="25">
        <v>0</v>
      </c>
      <c r="Z17" s="25">
        <v>0.05</v>
      </c>
      <c r="AA17" s="25">
        <v>8.95</v>
      </c>
      <c r="AB17" s="25">
        <v>5.66</v>
      </c>
      <c r="AC17" s="25">
        <v>0.47</v>
      </c>
      <c r="AD17" s="25">
        <v>0</v>
      </c>
      <c r="AF17" s="55">
        <f aca="true" t="shared" si="52" ref="AF17:AF43">10^4/(6.12+0.257*LN(CN17/(BH17^2*BJ17^2*BN17))-3.166*BN17-3.137*CR17+1.216*CO17^2-2.475*10^-2*C17*10+0.2166*R17)-273.15</f>
        <v>1176.209937485091</v>
      </c>
      <c r="AG17" s="55">
        <f t="shared" si="0"/>
        <v>1182.735105382757</v>
      </c>
      <c r="AH17" s="55">
        <f t="shared" si="1"/>
        <v>1181.8668346706545</v>
      </c>
      <c r="AI17" s="55">
        <f>25.95-0.0032*AH17*CS17-18.9*BP17+14.5*BM17-40.3*BN17+5.7*CN17^2+0.108*C17*10</f>
        <v>-0.02821811867706825</v>
      </c>
      <c r="AJ17" s="55">
        <f t="shared" si="2"/>
        <v>1.91866419120298</v>
      </c>
      <c r="AK17" s="55">
        <f aca="true" t="shared" si="53" ref="AK17:AK43">-42.2+(4.94*(10^-2)*CY17)+(1.16*(10^-2)*CY17)*CT17-19.6*LN(CO17)-382.3*BH17^2+514.2*BH17^3-139.8*BN17+287.2*BO17+163.9*BP17</f>
        <v>9.07495229047954</v>
      </c>
      <c r="AL17" s="55">
        <f t="shared" si="3"/>
        <v>1191.5604904940042</v>
      </c>
      <c r="AM17" s="56">
        <f t="shared" si="4"/>
        <v>0.49159056396546963</v>
      </c>
      <c r="AN17" s="56">
        <f t="shared" si="5"/>
        <v>0.5471842799778538</v>
      </c>
      <c r="AO17" s="56">
        <f t="shared" si="6"/>
        <v>0.0004436220692821319</v>
      </c>
      <c r="AP17" s="56">
        <f t="shared" si="7"/>
        <v>1.0392184660126054</v>
      </c>
      <c r="AQ17" s="56">
        <f aca="true" t="shared" si="54" ref="AQ17:AQ43">CO17*BJ17*BN17/(CN17*BO17*BH17)</f>
        <v>0.4554472353345481</v>
      </c>
      <c r="AR17" s="3">
        <f aca="true" t="shared" si="55" ref="AR17:AR43">(CI17/CJ17)/(BN17/BO17)</f>
        <v>0.8046710017354214</v>
      </c>
      <c r="AS17" s="55">
        <f t="shared" si="8"/>
        <v>-91.32244274016506</v>
      </c>
      <c r="AT17" s="55">
        <f t="shared" si="9"/>
        <v>-102.83826561809192</v>
      </c>
      <c r="AU17" s="54">
        <f aca="true" t="shared" si="56" ref="AU17:AU43">CI17*BO17/(CJ17*BN17)</f>
        <v>0.8046710017354215</v>
      </c>
      <c r="AV17" s="4">
        <f aca="true" t="shared" si="57" ref="AV17:AV43">BC17/(BC17+BD17)</f>
        <v>0.5205975235060173</v>
      </c>
      <c r="AW17" s="2">
        <f t="shared" si="10"/>
        <v>0.818908122503329</v>
      </c>
      <c r="AX17" s="2">
        <f t="shared" si="11"/>
        <v>0.048685857321652065</v>
      </c>
      <c r="AY17" s="2">
        <f t="shared" si="12"/>
        <v>0.3001176932130247</v>
      </c>
      <c r="AZ17" s="2">
        <f t="shared" si="13"/>
        <v>0.1906750173973556</v>
      </c>
      <c r="BA17" s="2">
        <f t="shared" si="14"/>
        <v>0.0016915703411333521</v>
      </c>
      <c r="BB17" s="2">
        <f t="shared" si="15"/>
        <v>0.09627791563275434</v>
      </c>
      <c r="BC17" s="2">
        <f t="shared" si="16"/>
        <v>0.12054208273894436</v>
      </c>
      <c r="BD17" s="2">
        <f t="shared" si="17"/>
        <v>0.11100354953210713</v>
      </c>
      <c r="BE17" s="2">
        <f t="shared" si="18"/>
        <v>0.02590233545647558</v>
      </c>
      <c r="BF17" s="2">
        <f t="shared" si="19"/>
        <v>0.011695329618069987</v>
      </c>
      <c r="BG17" s="2">
        <f t="shared" si="20"/>
        <v>1.7254994737548464</v>
      </c>
      <c r="BH17" s="2">
        <f t="shared" si="21"/>
        <v>0.4745919282845733</v>
      </c>
      <c r="BI17" s="2">
        <f t="shared" si="21"/>
        <v>0.028215515601234663</v>
      </c>
      <c r="BJ17" s="2">
        <f t="shared" si="21"/>
        <v>0.17393090973243874</v>
      </c>
      <c r="BK17" s="2">
        <f t="shared" si="21"/>
        <v>0.11050424546489668</v>
      </c>
      <c r="BL17" s="2">
        <f t="shared" si="21"/>
        <v>0.0009803366311392368</v>
      </c>
      <c r="BM17" s="2">
        <f t="shared" si="21"/>
        <v>0.055797128366109956</v>
      </c>
      <c r="BN17" s="2">
        <f t="shared" si="21"/>
        <v>0.06985924051117422</v>
      </c>
      <c r="BO17" s="2">
        <f t="shared" si="21"/>
        <v>0.0643312566711789</v>
      </c>
      <c r="BP17" s="2">
        <f t="shared" si="21"/>
        <v>0.015011500061550123</v>
      </c>
      <c r="BQ17" s="2">
        <f t="shared" si="21"/>
        <v>0.006777938675704066</v>
      </c>
      <c r="BR17" s="2">
        <f t="shared" si="22"/>
        <v>1</v>
      </c>
      <c r="BS17" s="2">
        <f t="shared" si="23"/>
        <v>0.9404127829560586</v>
      </c>
      <c r="BT17" s="2">
        <f t="shared" si="24"/>
        <v>0.001501877346683354</v>
      </c>
      <c r="BU17" s="2">
        <f t="shared" si="25"/>
        <v>0.5276579050608081</v>
      </c>
      <c r="BV17" s="2">
        <f t="shared" si="26"/>
        <v>0.0065414057063326375</v>
      </c>
      <c r="BW17" s="2">
        <f t="shared" si="27"/>
        <v>0</v>
      </c>
      <c r="BX17" s="2">
        <f t="shared" si="28"/>
        <v>0.001240694789081886</v>
      </c>
      <c r="BY17" s="2">
        <f t="shared" si="29"/>
        <v>0.15959343794579173</v>
      </c>
      <c r="BZ17" s="2">
        <f t="shared" si="30"/>
        <v>0.18263956114875768</v>
      </c>
      <c r="CA17" s="2">
        <f t="shared" si="31"/>
        <v>0.009978768577494692</v>
      </c>
      <c r="CB17" s="2">
        <f t="shared" si="32"/>
        <v>1.829566433531009</v>
      </c>
      <c r="CC17" s="2">
        <f t="shared" si="33"/>
        <v>0.5140085463532963</v>
      </c>
      <c r="CD17" s="2">
        <f t="shared" si="33"/>
        <v>0.0008208924907879816</v>
      </c>
      <c r="CE17" s="2">
        <f t="shared" si="33"/>
        <v>0.288405982636249</v>
      </c>
      <c r="CF17" s="2">
        <f t="shared" si="33"/>
        <v>0.0035753857233311384</v>
      </c>
      <c r="CG17" s="2">
        <f t="shared" si="33"/>
        <v>0</v>
      </c>
      <c r="CH17" s="2">
        <f t="shared" si="33"/>
        <v>0.0006781359596149684</v>
      </c>
      <c r="CI17" s="2">
        <f t="shared" si="33"/>
        <v>0.08723019564683482</v>
      </c>
      <c r="CJ17" s="2">
        <f t="shared" si="33"/>
        <v>0.09982668997499519</v>
      </c>
      <c r="CK17" s="2">
        <f t="shared" si="33"/>
        <v>0.005454171214890494</v>
      </c>
      <c r="CL17" s="2">
        <f t="shared" si="34"/>
        <v>0.9999999999999998</v>
      </c>
      <c r="CN17" s="2">
        <f t="shared" si="35"/>
        <v>0.4531178472560133</v>
      </c>
      <c r="CO17" s="2">
        <f t="shared" si="36"/>
        <v>0.5185504231046004</v>
      </c>
      <c r="CP17" s="2">
        <f t="shared" si="37"/>
        <v>0.02833172963938624</v>
      </c>
      <c r="CR17" s="2">
        <f t="shared" si="38"/>
        <v>0.26819550451649043</v>
      </c>
      <c r="CS17" s="2">
        <f t="shared" si="39"/>
        <v>6.85846401569513</v>
      </c>
      <c r="CT17" s="2">
        <f t="shared" si="40"/>
        <v>-0.7864754079940693</v>
      </c>
      <c r="CU17" s="2">
        <f t="shared" si="41"/>
        <v>2.662189781021898</v>
      </c>
      <c r="CV17" s="2">
        <f t="shared" si="42"/>
        <v>0.23714095097332008</v>
      </c>
      <c r="CW17" s="2">
        <f t="shared" si="43"/>
        <v>-0.8691175868155894</v>
      </c>
      <c r="CY17" s="2">
        <f t="shared" si="44"/>
        <v>1449.359937485091</v>
      </c>
      <c r="CZ17" s="60">
        <f aca="true" t="shared" si="58" ref="CZ17:CZ43">AH17</f>
        <v>1181.8668346706545</v>
      </c>
      <c r="DA17" s="2">
        <f aca="true" t="shared" si="59" ref="DA17:DA43">10*C17</f>
        <v>10</v>
      </c>
      <c r="DC17" s="2">
        <f t="shared" si="45"/>
        <v>1179.5058248716969</v>
      </c>
      <c r="DD17" s="2">
        <f t="shared" si="46"/>
        <v>0.47374856310806035</v>
      </c>
      <c r="DE17" s="2">
        <f t="shared" si="47"/>
        <v>0.8703803356659187</v>
      </c>
      <c r="DF17" s="2">
        <f t="shared" si="48"/>
        <v>0</v>
      </c>
      <c r="DG17" s="2">
        <f t="shared" si="49"/>
        <v>0.45544723533454806</v>
      </c>
      <c r="DI17" s="2">
        <f aca="true" t="shared" si="60" ref="DI17:DI43">BO17*BH17/(BN17*BJ17)</f>
        <v>2.512706449209382</v>
      </c>
      <c r="DJ17" s="2">
        <f aca="true" t="shared" si="61" ref="DJ17:DJ43">BN17+BJ17-BH17-BO17</f>
        <v>-0.29513303471213925</v>
      </c>
      <c r="DK17" s="2">
        <f t="shared" si="50"/>
        <v>1.1444052054997018</v>
      </c>
      <c r="DL17">
        <f aca="true" t="shared" si="62" ref="DL17:DL43">-10.34*10^-3</f>
        <v>-0.01034</v>
      </c>
      <c r="DM17">
        <f aca="true" t="shared" si="63" ref="DM17:DM43">17.24+LN(DI17/DK17)</f>
        <v>18.026475407994067</v>
      </c>
      <c r="DN17">
        <f aca="true" t="shared" si="64" ref="DN17:DN43">1.29*10^4*DJ17</f>
        <v>-3807.216147786596</v>
      </c>
      <c r="DO17">
        <f aca="true" t="shared" si="65" ref="DO17:DO43">(-DM17-SQRT(DM17^2-4*DL17*DN17))/(2*DL17)</f>
        <v>1497.4935210256538</v>
      </c>
      <c r="DP17" s="2">
        <f aca="true" t="shared" si="66" ref="DP17:DP43">DO17-273.15</f>
        <v>1224.343521025654</v>
      </c>
    </row>
    <row r="18" spans="1:120" ht="12.75">
      <c r="A18" s="2" t="s">
        <v>19</v>
      </c>
      <c r="B18" s="3" t="s">
        <v>23</v>
      </c>
      <c r="C18" s="25">
        <v>1</v>
      </c>
      <c r="D18" s="69">
        <v>1160</v>
      </c>
      <c r="F18" s="3">
        <v>4066</v>
      </c>
      <c r="G18" s="25">
        <v>49.6</v>
      </c>
      <c r="H18" s="25">
        <v>3.79</v>
      </c>
      <c r="I18" s="25">
        <v>15.8</v>
      </c>
      <c r="J18" s="25">
        <v>13</v>
      </c>
      <c r="K18" s="25">
        <v>0.14</v>
      </c>
      <c r="L18" s="25">
        <v>4.26</v>
      </c>
      <c r="M18" s="25">
        <v>6.59</v>
      </c>
      <c r="N18" s="25">
        <v>3.65</v>
      </c>
      <c r="O18" s="25">
        <v>1.04</v>
      </c>
      <c r="P18" s="25">
        <v>0</v>
      </c>
      <c r="Q18" s="25">
        <v>0.63</v>
      </c>
      <c r="R18" s="25">
        <v>0</v>
      </c>
      <c r="S18" s="2">
        <f t="shared" si="51"/>
        <v>98.50000000000001</v>
      </c>
      <c r="U18" s="25">
        <v>57.6</v>
      </c>
      <c r="V18" s="25">
        <v>0.11</v>
      </c>
      <c r="W18" s="25">
        <v>26.3</v>
      </c>
      <c r="X18" s="25">
        <v>0.5</v>
      </c>
      <c r="Y18" s="25">
        <v>0</v>
      </c>
      <c r="Z18" s="25">
        <v>0.07</v>
      </c>
      <c r="AA18" s="25">
        <v>8.5</v>
      </c>
      <c r="AB18" s="25">
        <v>6.27</v>
      </c>
      <c r="AC18" s="25">
        <v>0.4</v>
      </c>
      <c r="AD18" s="25">
        <v>0</v>
      </c>
      <c r="AF18" s="55">
        <f t="shared" si="52"/>
        <v>1172.3022838919642</v>
      </c>
      <c r="AG18" s="55">
        <f t="shared" si="0"/>
        <v>1187.1556303756183</v>
      </c>
      <c r="AH18" s="55">
        <f t="shared" si="1"/>
        <v>1176.9359080305494</v>
      </c>
      <c r="AI18" s="55">
        <f aca="true" t="shared" si="67" ref="AI18:AI43">25.95-0.0032*AH18*LN(CN18/(BN18*BJ18^2*BH18^2))-18.9*BP18+14.5*BM18-40.3*BN18+5.7*CN18^2+0.108*C18*10</f>
        <v>0.4887652455422178</v>
      </c>
      <c r="AJ18" s="55">
        <f t="shared" si="2"/>
        <v>2.2017566529191113</v>
      </c>
      <c r="AK18" s="55">
        <f t="shared" si="53"/>
        <v>9.950625647884758</v>
      </c>
      <c r="AL18" s="55">
        <f t="shared" si="3"/>
        <v>1195.522423435451</v>
      </c>
      <c r="AM18" s="56">
        <f t="shared" si="4"/>
        <v>0.48458943074289956</v>
      </c>
      <c r="AN18" s="56">
        <f t="shared" si="5"/>
        <v>0.5913566092732513</v>
      </c>
      <c r="AO18" s="56">
        <f t="shared" si="6"/>
        <v>0.0007617426371537594</v>
      </c>
      <c r="AP18" s="56">
        <f t="shared" si="7"/>
        <v>1.0767077826533047</v>
      </c>
      <c r="AQ18" s="56">
        <f t="shared" si="54"/>
        <v>0.49997313444101854</v>
      </c>
      <c r="AR18" s="3">
        <f t="shared" si="55"/>
        <v>0.7508597677114569</v>
      </c>
      <c r="AS18" s="55">
        <f t="shared" si="8"/>
        <v>-79.47062625799109</v>
      </c>
      <c r="AT18" s="55">
        <f t="shared" si="9"/>
        <v>-88.77481762561999</v>
      </c>
      <c r="AU18" s="54">
        <f t="shared" si="56"/>
        <v>0.7508597677114569</v>
      </c>
      <c r="AV18" s="4">
        <f t="shared" si="57"/>
        <v>0.49942787774802705</v>
      </c>
      <c r="AW18" s="2">
        <f t="shared" si="10"/>
        <v>0.8255659121171771</v>
      </c>
      <c r="AX18" s="2">
        <f t="shared" si="11"/>
        <v>0.0474342928660826</v>
      </c>
      <c r="AY18" s="2">
        <f t="shared" si="12"/>
        <v>0.3099254609650844</v>
      </c>
      <c r="AZ18" s="2">
        <f t="shared" si="13"/>
        <v>0.18093249826026445</v>
      </c>
      <c r="BA18" s="2">
        <f t="shared" si="14"/>
        <v>0.0019734987313222443</v>
      </c>
      <c r="BB18" s="2">
        <f t="shared" si="15"/>
        <v>0.10570719602977667</v>
      </c>
      <c r="BC18" s="2">
        <f t="shared" si="16"/>
        <v>0.11751069900142654</v>
      </c>
      <c r="BD18" s="2">
        <f t="shared" si="17"/>
        <v>0.11777992900935787</v>
      </c>
      <c r="BE18" s="2">
        <f t="shared" si="18"/>
        <v>0.02208067940552017</v>
      </c>
      <c r="BF18" s="2">
        <f t="shared" si="19"/>
        <v>0.0088771779028724</v>
      </c>
      <c r="BG18" s="2">
        <f t="shared" si="20"/>
        <v>1.7377873442888845</v>
      </c>
      <c r="BH18" s="2">
        <f t="shared" si="21"/>
        <v>0.4750672830196061</v>
      </c>
      <c r="BI18" s="2">
        <f t="shared" si="21"/>
        <v>0.027295798316158797</v>
      </c>
      <c r="BJ18" s="2">
        <f t="shared" si="21"/>
        <v>0.17834487170345242</v>
      </c>
      <c r="BK18" s="2">
        <f t="shared" si="21"/>
        <v>0.10411659335354602</v>
      </c>
      <c r="BL18" s="2">
        <f t="shared" si="21"/>
        <v>0.0011356387982729926</v>
      </c>
      <c r="BM18" s="2">
        <f t="shared" si="21"/>
        <v>0.06082861425891719</v>
      </c>
      <c r="BN18" s="2">
        <f t="shared" si="21"/>
        <v>0.0676208739738019</v>
      </c>
      <c r="BO18" s="2">
        <f t="shared" si="21"/>
        <v>0.06777580087485002</v>
      </c>
      <c r="BP18" s="2">
        <f t="shared" si="21"/>
        <v>0.012706203367222557</v>
      </c>
      <c r="BQ18" s="2">
        <f t="shared" si="21"/>
        <v>0.005108322334172025</v>
      </c>
      <c r="BR18" s="2">
        <f t="shared" si="22"/>
        <v>0.9999999999999999</v>
      </c>
      <c r="BS18" s="2">
        <f t="shared" si="23"/>
        <v>0.9587217043941412</v>
      </c>
      <c r="BT18" s="2">
        <f t="shared" si="24"/>
        <v>0.001376720901126408</v>
      </c>
      <c r="BU18" s="2">
        <f t="shared" si="25"/>
        <v>0.5158885837583367</v>
      </c>
      <c r="BV18" s="2">
        <f t="shared" si="26"/>
        <v>0.006958942240779402</v>
      </c>
      <c r="BW18" s="2">
        <f t="shared" si="27"/>
        <v>0</v>
      </c>
      <c r="BX18" s="2">
        <f t="shared" si="28"/>
        <v>0.0017369727047146404</v>
      </c>
      <c r="BY18" s="2">
        <f t="shared" si="29"/>
        <v>0.15156918687589158</v>
      </c>
      <c r="BZ18" s="2">
        <f t="shared" si="30"/>
        <v>0.20232333010648595</v>
      </c>
      <c r="CA18" s="2">
        <f t="shared" si="31"/>
        <v>0.008492569002123142</v>
      </c>
      <c r="CB18" s="2">
        <f t="shared" si="32"/>
        <v>1.847068009983599</v>
      </c>
      <c r="CC18" s="2">
        <f t="shared" si="33"/>
        <v>0.5190505705324051</v>
      </c>
      <c r="CD18" s="2">
        <f t="shared" si="33"/>
        <v>0.0007453547425893823</v>
      </c>
      <c r="CE18" s="2">
        <f t="shared" si="33"/>
        <v>0.27930134730822254</v>
      </c>
      <c r="CF18" s="2">
        <f t="shared" si="33"/>
        <v>0.003767561455867125</v>
      </c>
      <c r="CG18" s="2">
        <f t="shared" si="33"/>
        <v>0</v>
      </c>
      <c r="CH18" s="2">
        <f t="shared" si="33"/>
        <v>0.0009403945579297125</v>
      </c>
      <c r="CI18" s="2">
        <f t="shared" si="33"/>
        <v>0.08205934272947396</v>
      </c>
      <c r="CJ18" s="2">
        <f t="shared" si="33"/>
        <v>0.10953756386495074</v>
      </c>
      <c r="CK18" s="2">
        <f t="shared" si="33"/>
        <v>0.004597864808561408</v>
      </c>
      <c r="CL18" s="2">
        <f t="shared" si="34"/>
        <v>1</v>
      </c>
      <c r="CN18" s="2">
        <f t="shared" si="35"/>
        <v>0.41825448324982734</v>
      </c>
      <c r="CO18" s="2">
        <f t="shared" si="36"/>
        <v>0.5583103111344361</v>
      </c>
      <c r="CP18" s="2">
        <f t="shared" si="37"/>
        <v>0.023435205615736532</v>
      </c>
      <c r="CR18" s="2">
        <f t="shared" si="38"/>
        <v>0.27294391512971156</v>
      </c>
      <c r="CS18" s="2">
        <f t="shared" si="39"/>
        <v>6.758843253343318</v>
      </c>
      <c r="CT18" s="2">
        <f t="shared" si="40"/>
        <v>-0.6932009131214766</v>
      </c>
      <c r="CU18" s="2">
        <f t="shared" si="41"/>
        <v>2.34065934065934</v>
      </c>
      <c r="CV18" s="2">
        <f t="shared" si="42"/>
        <v>0.2337017203845381</v>
      </c>
      <c r="CW18" s="2">
        <f t="shared" si="43"/>
        <v>-0.8812475802444096</v>
      </c>
      <c r="CY18" s="2">
        <f t="shared" si="44"/>
        <v>1445.4522838919643</v>
      </c>
      <c r="CZ18" s="60">
        <f t="shared" si="58"/>
        <v>1176.9359080305494</v>
      </c>
      <c r="DA18" s="2">
        <f t="shared" si="59"/>
        <v>10</v>
      </c>
      <c r="DC18" s="2">
        <f t="shared" si="45"/>
        <v>1173.5426628337802</v>
      </c>
      <c r="DD18" s="2">
        <f t="shared" si="46"/>
        <v>0.510193110060296</v>
      </c>
      <c r="DE18" s="2">
        <f t="shared" si="47"/>
        <v>0.8374672337791412</v>
      </c>
      <c r="DF18" s="2">
        <f t="shared" si="48"/>
        <v>0</v>
      </c>
      <c r="DG18" s="2">
        <f t="shared" si="49"/>
        <v>0.4999731344410185</v>
      </c>
      <c r="DI18" s="2">
        <f t="shared" si="60"/>
        <v>2.6698593021419863</v>
      </c>
      <c r="DJ18" s="2">
        <f t="shared" si="61"/>
        <v>-0.2968773382172018</v>
      </c>
      <c r="DK18" s="2">
        <f t="shared" si="50"/>
        <v>1.334857923808439</v>
      </c>
      <c r="DL18">
        <f t="shared" si="62"/>
        <v>-0.01034</v>
      </c>
      <c r="DM18">
        <f t="shared" si="63"/>
        <v>17.933200913121475</v>
      </c>
      <c r="DN18">
        <f t="shared" si="64"/>
        <v>-3829.7176630019035</v>
      </c>
      <c r="DO18">
        <f t="shared" si="65"/>
        <v>1484.9263604436746</v>
      </c>
      <c r="DP18" s="2">
        <f t="shared" si="66"/>
        <v>1211.7763604436745</v>
      </c>
    </row>
    <row r="19" spans="1:120" ht="12.75">
      <c r="A19" s="2" t="s">
        <v>19</v>
      </c>
      <c r="B19" s="3" t="s">
        <v>24</v>
      </c>
      <c r="C19" s="25">
        <v>0.7</v>
      </c>
      <c r="D19" s="69">
        <v>1095</v>
      </c>
      <c r="F19" s="3">
        <v>4062</v>
      </c>
      <c r="G19" s="25">
        <v>47.1</v>
      </c>
      <c r="H19" s="25">
        <v>4.21</v>
      </c>
      <c r="I19" s="25">
        <v>12</v>
      </c>
      <c r="J19" s="25">
        <v>17.8</v>
      </c>
      <c r="K19" s="25">
        <v>0.18</v>
      </c>
      <c r="L19" s="25">
        <v>3.4</v>
      </c>
      <c r="M19" s="25">
        <v>7.28</v>
      </c>
      <c r="N19" s="25">
        <v>2.93</v>
      </c>
      <c r="O19" s="25">
        <v>2.02</v>
      </c>
      <c r="P19" s="25">
        <v>0</v>
      </c>
      <c r="Q19" s="25">
        <v>2.32</v>
      </c>
      <c r="R19" s="25">
        <v>0</v>
      </c>
      <c r="S19" s="2">
        <f t="shared" si="51"/>
        <v>99.24000000000001</v>
      </c>
      <c r="U19" s="25">
        <v>57.2</v>
      </c>
      <c r="V19" s="25">
        <v>0.16</v>
      </c>
      <c r="W19" s="25">
        <v>27</v>
      </c>
      <c r="X19" s="25">
        <v>0.62</v>
      </c>
      <c r="Y19" s="25">
        <v>0</v>
      </c>
      <c r="Z19" s="25">
        <v>0.06</v>
      </c>
      <c r="AA19" s="25">
        <v>9.03</v>
      </c>
      <c r="AB19" s="25">
        <v>5.58</v>
      </c>
      <c r="AC19" s="25">
        <v>0.84</v>
      </c>
      <c r="AD19" s="25">
        <v>0</v>
      </c>
      <c r="AF19" s="55">
        <f t="shared" si="52"/>
        <v>1123.156916907309</v>
      </c>
      <c r="AG19" s="55">
        <f t="shared" si="0"/>
        <v>1123.7067937675943</v>
      </c>
      <c r="AH19" s="55">
        <f t="shared" si="1"/>
        <v>1129.0071681508311</v>
      </c>
      <c r="AI19" s="55">
        <f t="shared" si="67"/>
        <v>-1.3169114647343487</v>
      </c>
      <c r="AJ19" s="55">
        <f t="shared" si="2"/>
        <v>0.9694141829910883</v>
      </c>
      <c r="AK19" s="55">
        <f t="shared" si="53"/>
        <v>6.322756354262353</v>
      </c>
      <c r="AL19" s="55">
        <f t="shared" si="3"/>
        <v>1133.4266878984981</v>
      </c>
      <c r="AM19" s="56">
        <f t="shared" si="4"/>
        <v>0.4509100613947939</v>
      </c>
      <c r="AN19" s="56">
        <f t="shared" si="5"/>
        <v>0.566741495013454</v>
      </c>
      <c r="AO19" s="56">
        <f t="shared" si="6"/>
        <v>3.6097808563177374E-05</v>
      </c>
      <c r="AP19" s="56">
        <f t="shared" si="7"/>
        <v>1.0176876542168112</v>
      </c>
      <c r="AQ19" s="56">
        <f t="shared" si="54"/>
        <v>0.46099969638686955</v>
      </c>
      <c r="AR19" s="3">
        <f t="shared" si="55"/>
        <v>0.6513130686517783</v>
      </c>
      <c r="AS19" s="55">
        <f t="shared" si="8"/>
        <v>-118.37698188227091</v>
      </c>
      <c r="AT19" s="55">
        <f t="shared" si="9"/>
        <v>-141.91243346588823</v>
      </c>
      <c r="AU19" s="54">
        <f t="shared" si="56"/>
        <v>0.6513130686517783</v>
      </c>
      <c r="AV19" s="4">
        <f t="shared" si="57"/>
        <v>0.5785963126946544</v>
      </c>
      <c r="AW19" s="2">
        <f t="shared" si="10"/>
        <v>0.7839547270306259</v>
      </c>
      <c r="AX19" s="2">
        <f t="shared" si="11"/>
        <v>0.05269086357947434</v>
      </c>
      <c r="AY19" s="2">
        <f t="shared" si="12"/>
        <v>0.23538642604943116</v>
      </c>
      <c r="AZ19" s="2">
        <f t="shared" si="13"/>
        <v>0.24773834377174672</v>
      </c>
      <c r="BA19" s="2">
        <f t="shared" si="14"/>
        <v>0.002537355511700028</v>
      </c>
      <c r="BB19" s="2">
        <f t="shared" si="15"/>
        <v>0.08436724565756824</v>
      </c>
      <c r="BC19" s="2">
        <f t="shared" si="16"/>
        <v>0.12981455064194009</v>
      </c>
      <c r="BD19" s="2">
        <f t="shared" si="17"/>
        <v>0.09454662794449824</v>
      </c>
      <c r="BE19" s="2">
        <f t="shared" si="18"/>
        <v>0.042887473460721866</v>
      </c>
      <c r="BF19" s="2">
        <f t="shared" si="19"/>
        <v>0.032690559896292014</v>
      </c>
      <c r="BG19" s="2">
        <f t="shared" si="20"/>
        <v>1.7066141735439986</v>
      </c>
      <c r="BH19" s="2">
        <f t="shared" si="21"/>
        <v>0.4593626018015809</v>
      </c>
      <c r="BI19" s="2">
        <f t="shared" si="21"/>
        <v>0.03087450250694634</v>
      </c>
      <c r="BJ19" s="2">
        <f t="shared" si="21"/>
        <v>0.1379259762976313</v>
      </c>
      <c r="BK19" s="2">
        <f t="shared" si="21"/>
        <v>0.14516365070218945</v>
      </c>
      <c r="BL19" s="2">
        <f t="shared" si="21"/>
        <v>0.001486777474976017</v>
      </c>
      <c r="BM19" s="2">
        <f t="shared" si="21"/>
        <v>0.04943545352278955</v>
      </c>
      <c r="BN19" s="2">
        <f t="shared" si="21"/>
        <v>0.0760655528673853</v>
      </c>
      <c r="BO19" s="2">
        <f t="shared" si="21"/>
        <v>0.055400118790857274</v>
      </c>
      <c r="BP19" s="2">
        <f t="shared" si="21"/>
        <v>0.02513015192629078</v>
      </c>
      <c r="BQ19" s="2">
        <f t="shared" si="21"/>
        <v>0.01915521410935312</v>
      </c>
      <c r="BR19" s="2">
        <f t="shared" si="22"/>
        <v>1</v>
      </c>
      <c r="BS19" s="2">
        <f t="shared" si="23"/>
        <v>0.9520639147802931</v>
      </c>
      <c r="BT19" s="2">
        <f t="shared" si="24"/>
        <v>0.002002503128911139</v>
      </c>
      <c r="BU19" s="2">
        <f t="shared" si="25"/>
        <v>0.5296194586112202</v>
      </c>
      <c r="BV19" s="2">
        <f t="shared" si="26"/>
        <v>0.008629088378566458</v>
      </c>
      <c r="BW19" s="2">
        <f t="shared" si="27"/>
        <v>0</v>
      </c>
      <c r="BX19" s="2">
        <f t="shared" si="28"/>
        <v>0.001488833746898263</v>
      </c>
      <c r="BY19" s="2">
        <f t="shared" si="29"/>
        <v>0.16101997146932953</v>
      </c>
      <c r="BZ19" s="2">
        <f t="shared" si="30"/>
        <v>0.18005808325266215</v>
      </c>
      <c r="CA19" s="2">
        <f t="shared" si="31"/>
        <v>0.017834394904458598</v>
      </c>
      <c r="CB19" s="2">
        <f t="shared" si="32"/>
        <v>1.8527162482723394</v>
      </c>
      <c r="CC19" s="2">
        <f t="shared" si="33"/>
        <v>0.5138746506207273</v>
      </c>
      <c r="CD19" s="2">
        <f t="shared" si="33"/>
        <v>0.0010808471781787825</v>
      </c>
      <c r="CE19" s="2">
        <f t="shared" si="33"/>
        <v>0.28586107511341313</v>
      </c>
      <c r="CF19" s="2">
        <f t="shared" si="33"/>
        <v>0.0046575337084742985</v>
      </c>
      <c r="CG19" s="2">
        <f t="shared" si="33"/>
        <v>0</v>
      </c>
      <c r="CH19" s="2">
        <f t="shared" si="33"/>
        <v>0.0008035951259598456</v>
      </c>
      <c r="CI19" s="2">
        <f t="shared" si="33"/>
        <v>0.0869102171579058</v>
      </c>
      <c r="CJ19" s="2">
        <f t="shared" si="33"/>
        <v>0.09718600105146516</v>
      </c>
      <c r="CK19" s="2">
        <f t="shared" si="33"/>
        <v>0.009626080043875686</v>
      </c>
      <c r="CL19" s="2">
        <f t="shared" si="34"/>
        <v>1.0000000000000002</v>
      </c>
      <c r="CN19" s="2">
        <f t="shared" si="35"/>
        <v>0.44863300684307905</v>
      </c>
      <c r="CO19" s="2">
        <f t="shared" si="36"/>
        <v>0.5016768948529465</v>
      </c>
      <c r="CP19" s="2">
        <f t="shared" si="37"/>
        <v>0.04969009830397442</v>
      </c>
      <c r="CR19" s="2">
        <f t="shared" si="38"/>
        <v>0.23092016381187383</v>
      </c>
      <c r="CS19" s="2">
        <f t="shared" si="39"/>
        <v>7.292516770655847</v>
      </c>
      <c r="CT19" s="2">
        <f t="shared" si="40"/>
        <v>-0.7743578945825177</v>
      </c>
      <c r="CU19" s="2">
        <f t="shared" si="41"/>
        <v>1.9737827715355802</v>
      </c>
      <c r="CV19" s="2">
        <f t="shared" si="42"/>
        <v>0.2721514345673403</v>
      </c>
      <c r="CW19" s="2">
        <f t="shared" si="43"/>
        <v>-0.7389776234470831</v>
      </c>
      <c r="CY19" s="2">
        <f t="shared" si="44"/>
        <v>1396.3069169073092</v>
      </c>
      <c r="CZ19" s="60">
        <f t="shared" si="58"/>
        <v>1129.0071681508311</v>
      </c>
      <c r="DA19" s="2">
        <f t="shared" si="59"/>
        <v>7</v>
      </c>
      <c r="DC19" s="2">
        <f t="shared" si="45"/>
        <v>1124.1313381429002</v>
      </c>
      <c r="DD19" s="2">
        <f t="shared" si="46"/>
        <v>0.37778398991232187</v>
      </c>
      <c r="DE19" s="2">
        <f t="shared" si="47"/>
        <v>0.7753817247014472</v>
      </c>
      <c r="DF19" s="2">
        <f t="shared" si="48"/>
        <v>0</v>
      </c>
      <c r="DG19" s="2">
        <f t="shared" si="49"/>
        <v>0.46099969638686955</v>
      </c>
      <c r="DI19" s="2">
        <f t="shared" si="60"/>
        <v>2.4256729097990037</v>
      </c>
      <c r="DJ19" s="2">
        <f t="shared" si="61"/>
        <v>-0.3007711914274216</v>
      </c>
      <c r="DK19" s="2">
        <f t="shared" si="50"/>
        <v>1.1182344749511954</v>
      </c>
      <c r="DL19">
        <f t="shared" si="62"/>
        <v>-0.01034</v>
      </c>
      <c r="DM19">
        <f t="shared" si="63"/>
        <v>18.014357894582517</v>
      </c>
      <c r="DN19">
        <f t="shared" si="64"/>
        <v>-3879.9483694137384</v>
      </c>
      <c r="DO19">
        <f t="shared" si="65"/>
        <v>1490.4382355580944</v>
      </c>
      <c r="DP19" s="2">
        <f t="shared" si="66"/>
        <v>1217.2882355580946</v>
      </c>
    </row>
    <row r="20" spans="1:120" ht="12.75">
      <c r="A20" s="2" t="s">
        <v>19</v>
      </c>
      <c r="B20" s="3" t="s">
        <v>25</v>
      </c>
      <c r="C20" s="25">
        <v>0.7</v>
      </c>
      <c r="D20" s="69">
        <v>1120</v>
      </c>
      <c r="F20" s="3">
        <v>4061</v>
      </c>
      <c r="G20" s="25">
        <v>48.1</v>
      </c>
      <c r="H20" s="25">
        <v>3.88</v>
      </c>
      <c r="I20" s="25">
        <v>13.2</v>
      </c>
      <c r="J20" s="25">
        <v>16.4</v>
      </c>
      <c r="K20" s="25">
        <v>0.16</v>
      </c>
      <c r="L20" s="25">
        <v>4.02</v>
      </c>
      <c r="M20" s="25">
        <v>6.51</v>
      </c>
      <c r="N20" s="25">
        <v>3.36</v>
      </c>
      <c r="O20" s="25">
        <v>1.36</v>
      </c>
      <c r="P20" s="25">
        <v>0</v>
      </c>
      <c r="Q20" s="25">
        <v>1.59</v>
      </c>
      <c r="R20" s="25">
        <v>0</v>
      </c>
      <c r="S20" s="2">
        <f t="shared" si="51"/>
        <v>98.58000000000001</v>
      </c>
      <c r="U20" s="25">
        <v>56.7</v>
      </c>
      <c r="V20" s="25">
        <v>0.14</v>
      </c>
      <c r="W20" s="25">
        <v>27.6</v>
      </c>
      <c r="X20" s="25">
        <v>0.69</v>
      </c>
      <c r="Y20" s="25">
        <v>0</v>
      </c>
      <c r="Z20" s="25">
        <v>0.11</v>
      </c>
      <c r="AA20" s="25">
        <v>9.46</v>
      </c>
      <c r="AB20" s="25">
        <v>5.58</v>
      </c>
      <c r="AC20" s="25">
        <v>0.48</v>
      </c>
      <c r="AD20" s="25">
        <v>0</v>
      </c>
      <c r="AF20" s="55">
        <f t="shared" si="52"/>
        <v>1128.8962236381371</v>
      </c>
      <c r="AG20" s="55">
        <f t="shared" si="0"/>
        <v>1132.7736203199388</v>
      </c>
      <c r="AH20" s="55">
        <f t="shared" si="1"/>
        <v>1140.3886987007418</v>
      </c>
      <c r="AI20" s="55">
        <f t="shared" si="67"/>
        <v>-0.6596873108402688</v>
      </c>
      <c r="AJ20" s="55">
        <f t="shared" si="2"/>
        <v>0.7583578901811401</v>
      </c>
      <c r="AK20" s="55">
        <f t="shared" si="53"/>
        <v>4.847798609388356</v>
      </c>
      <c r="AL20" s="55">
        <f t="shared" si="3"/>
        <v>1148.431243394617</v>
      </c>
      <c r="AM20" s="56">
        <f t="shared" si="4"/>
        <v>0.4305485997025856</v>
      </c>
      <c r="AN20" s="56">
        <f t="shared" si="5"/>
        <v>0.6431046540655039</v>
      </c>
      <c r="AO20" s="56">
        <f t="shared" si="6"/>
        <v>0.00034618784306555045</v>
      </c>
      <c r="AP20" s="56">
        <f t="shared" si="7"/>
        <v>1.073999441611155</v>
      </c>
      <c r="AQ20" s="56">
        <f t="shared" si="54"/>
        <v>0.36961000734299865</v>
      </c>
      <c r="AR20" s="3">
        <f t="shared" si="55"/>
        <v>0.8750144525378659</v>
      </c>
      <c r="AS20" s="55">
        <f t="shared" si="8"/>
        <v>-78.75746647754315</v>
      </c>
      <c r="AT20" s="55">
        <f t="shared" si="9"/>
        <v>-102.97675611284751</v>
      </c>
      <c r="AU20" s="54">
        <f t="shared" si="56"/>
        <v>0.8750144525378658</v>
      </c>
      <c r="AV20" s="4">
        <f t="shared" si="57"/>
        <v>0.5170643228900359</v>
      </c>
      <c r="AW20" s="2">
        <f t="shared" si="10"/>
        <v>0.8005992010652464</v>
      </c>
      <c r="AX20" s="2">
        <f t="shared" si="11"/>
        <v>0.04856070087609511</v>
      </c>
      <c r="AY20" s="2">
        <f t="shared" si="12"/>
        <v>0.25892506865437426</v>
      </c>
      <c r="AZ20" s="2">
        <f t="shared" si="13"/>
        <v>0.22825330549756437</v>
      </c>
      <c r="BA20" s="2">
        <f t="shared" si="14"/>
        <v>0.002255427121511136</v>
      </c>
      <c r="BB20" s="2">
        <f t="shared" si="15"/>
        <v>0.09975186104218361</v>
      </c>
      <c r="BC20" s="2">
        <f t="shared" si="16"/>
        <v>0.11608416547788873</v>
      </c>
      <c r="BD20" s="2">
        <f t="shared" si="17"/>
        <v>0.10842207163601161</v>
      </c>
      <c r="BE20" s="2">
        <f t="shared" si="18"/>
        <v>0.028874734607218684</v>
      </c>
      <c r="BF20" s="2">
        <f t="shared" si="19"/>
        <v>0.022404306135820822</v>
      </c>
      <c r="BG20" s="2">
        <f t="shared" si="20"/>
        <v>1.7141308421139148</v>
      </c>
      <c r="BH20" s="2">
        <f t="shared" si="21"/>
        <v>0.4670583956577812</v>
      </c>
      <c r="BI20" s="2">
        <f t="shared" si="21"/>
        <v>0.02832963486976798</v>
      </c>
      <c r="BJ20" s="2">
        <f t="shared" si="21"/>
        <v>0.15105326985136125</v>
      </c>
      <c r="BK20" s="2">
        <f t="shared" si="21"/>
        <v>0.13315979147547216</v>
      </c>
      <c r="BL20" s="2">
        <f t="shared" si="21"/>
        <v>0.001315784691633971</v>
      </c>
      <c r="BM20" s="2">
        <f t="shared" si="21"/>
        <v>0.058193842961933286</v>
      </c>
      <c r="BN20" s="2">
        <f t="shared" si="21"/>
        <v>0.06772188133242527</v>
      </c>
      <c r="BO20" s="2">
        <f t="shared" si="21"/>
        <v>0.0632519227658855</v>
      </c>
      <c r="BP20" s="2">
        <f t="shared" si="21"/>
        <v>0.01684511701079338</v>
      </c>
      <c r="BQ20" s="2">
        <f t="shared" si="21"/>
        <v>0.013070359382946052</v>
      </c>
      <c r="BR20" s="2">
        <f t="shared" si="22"/>
        <v>1.0000000000000002</v>
      </c>
      <c r="BS20" s="2">
        <f t="shared" si="23"/>
        <v>0.9437416777629828</v>
      </c>
      <c r="BT20" s="2">
        <f t="shared" si="24"/>
        <v>0.0017521902377972466</v>
      </c>
      <c r="BU20" s="2">
        <f t="shared" si="25"/>
        <v>0.5413887799136917</v>
      </c>
      <c r="BV20" s="2">
        <f t="shared" si="26"/>
        <v>0.009603340292275574</v>
      </c>
      <c r="BW20" s="2">
        <f t="shared" si="27"/>
        <v>0</v>
      </c>
      <c r="BX20" s="2">
        <f t="shared" si="28"/>
        <v>0.002729528535980149</v>
      </c>
      <c r="BY20" s="2">
        <f t="shared" si="29"/>
        <v>0.16868758915834525</v>
      </c>
      <c r="BZ20" s="2">
        <f t="shared" si="30"/>
        <v>0.18005808325266215</v>
      </c>
      <c r="CA20" s="2">
        <f t="shared" si="31"/>
        <v>0.01019108280254777</v>
      </c>
      <c r="CB20" s="2">
        <f t="shared" si="32"/>
        <v>1.8581522719562826</v>
      </c>
      <c r="CC20" s="2">
        <f t="shared" si="33"/>
        <v>0.5078925403510668</v>
      </c>
      <c r="CD20" s="2">
        <f t="shared" si="33"/>
        <v>0.0009429745151900398</v>
      </c>
      <c r="CE20" s="2">
        <f t="shared" si="33"/>
        <v>0.2913586728517743</v>
      </c>
      <c r="CF20" s="2">
        <f t="shared" si="33"/>
        <v>0.005168220299924652</v>
      </c>
      <c r="CG20" s="2">
        <f t="shared" si="33"/>
        <v>0</v>
      </c>
      <c r="CH20" s="2">
        <f t="shared" si="33"/>
        <v>0.0014689477160590677</v>
      </c>
      <c r="CI20" s="2">
        <f t="shared" si="33"/>
        <v>0.0907824357046633</v>
      </c>
      <c r="CJ20" s="2">
        <f t="shared" si="33"/>
        <v>0.09690168344658592</v>
      </c>
      <c r="CK20" s="2">
        <f t="shared" si="33"/>
        <v>0.005484525114735882</v>
      </c>
      <c r="CL20" s="2">
        <f t="shared" si="34"/>
        <v>0.9999999999999999</v>
      </c>
      <c r="CN20" s="2">
        <f t="shared" si="35"/>
        <v>0.46996465730566345</v>
      </c>
      <c r="CO20" s="2">
        <f t="shared" si="36"/>
        <v>0.5016429235438251</v>
      </c>
      <c r="CP20" s="2">
        <f t="shared" si="37"/>
        <v>0.028392419150511383</v>
      </c>
      <c r="CR20" s="2">
        <f t="shared" si="38"/>
        <v>0.244378610338858</v>
      </c>
      <c r="CS20" s="2">
        <f t="shared" si="39"/>
        <v>7.240095574334881</v>
      </c>
      <c r="CT20" s="2">
        <f t="shared" si="40"/>
        <v>-0.9953068634366832</v>
      </c>
      <c r="CU20" s="2">
        <f t="shared" si="41"/>
        <v>1.5375831485587577</v>
      </c>
      <c r="CV20" s="2">
        <f t="shared" si="42"/>
        <v>0.26039130046146464</v>
      </c>
      <c r="CW20" s="2">
        <f t="shared" si="43"/>
        <v>-0.7743265739902754</v>
      </c>
      <c r="CY20" s="2">
        <f t="shared" si="44"/>
        <v>1402.0462236381372</v>
      </c>
      <c r="CZ20" s="60">
        <f t="shared" si="58"/>
        <v>1140.3886987007418</v>
      </c>
      <c r="DA20" s="2">
        <f t="shared" si="59"/>
        <v>7</v>
      </c>
      <c r="DC20" s="2">
        <f t="shared" si="45"/>
        <v>1136.0834777610717</v>
      </c>
      <c r="DD20" s="2">
        <f t="shared" si="46"/>
        <v>0.4379364421756227</v>
      </c>
      <c r="DE20" s="2">
        <f t="shared" si="47"/>
        <v>0.9089094654198582</v>
      </c>
      <c r="DF20" s="2">
        <f t="shared" si="48"/>
        <v>0</v>
      </c>
      <c r="DG20" s="2">
        <f t="shared" si="49"/>
        <v>0.3696100073429987</v>
      </c>
      <c r="DI20" s="2">
        <f t="shared" si="60"/>
        <v>2.8879240658387575</v>
      </c>
      <c r="DJ20" s="2">
        <f t="shared" si="61"/>
        <v>-0.3115351672398802</v>
      </c>
      <c r="DK20" s="2">
        <f t="shared" si="50"/>
        <v>1.067405635180686</v>
      </c>
      <c r="DL20">
        <f t="shared" si="62"/>
        <v>-0.01034</v>
      </c>
      <c r="DM20">
        <f t="shared" si="63"/>
        <v>18.23530686343668</v>
      </c>
      <c r="DN20">
        <f t="shared" si="64"/>
        <v>-4018.803657394454</v>
      </c>
      <c r="DO20">
        <f t="shared" si="65"/>
        <v>1505.385870310021</v>
      </c>
      <c r="DP20" s="2">
        <f t="shared" si="66"/>
        <v>1232.2358703100208</v>
      </c>
    </row>
    <row r="21" spans="1:120" ht="12.75">
      <c r="A21" s="2" t="s">
        <v>19</v>
      </c>
      <c r="B21" s="3" t="s">
        <v>26</v>
      </c>
      <c r="C21" s="25">
        <v>0.5</v>
      </c>
      <c r="D21" s="69">
        <v>1130</v>
      </c>
      <c r="F21" s="3">
        <v>4055</v>
      </c>
      <c r="G21" s="25">
        <v>48.2</v>
      </c>
      <c r="H21" s="25">
        <v>4.89</v>
      </c>
      <c r="I21" s="25">
        <v>14.1</v>
      </c>
      <c r="J21" s="25">
        <v>14.2</v>
      </c>
      <c r="K21" s="25">
        <v>0.16</v>
      </c>
      <c r="L21" s="25">
        <v>4.67</v>
      </c>
      <c r="M21" s="25">
        <v>6.37</v>
      </c>
      <c r="N21" s="25">
        <v>3.46</v>
      </c>
      <c r="O21" s="25">
        <v>1.16</v>
      </c>
      <c r="P21" s="25">
        <v>0</v>
      </c>
      <c r="Q21" s="25">
        <v>0.79</v>
      </c>
      <c r="R21" s="25">
        <v>0</v>
      </c>
      <c r="S21" s="2">
        <f t="shared" si="51"/>
        <v>98</v>
      </c>
      <c r="U21" s="25">
        <v>56</v>
      </c>
      <c r="V21" s="25">
        <v>0.21</v>
      </c>
      <c r="W21" s="25">
        <v>26.6</v>
      </c>
      <c r="X21" s="25">
        <v>0.56</v>
      </c>
      <c r="Y21" s="25">
        <v>0</v>
      </c>
      <c r="Z21" s="25">
        <v>0.1</v>
      </c>
      <c r="AA21" s="25">
        <v>8.99</v>
      </c>
      <c r="AB21" s="25">
        <v>5.7</v>
      </c>
      <c r="AC21" s="25">
        <v>0.45</v>
      </c>
      <c r="AD21" s="25">
        <v>0</v>
      </c>
      <c r="AF21" s="55">
        <f t="shared" si="52"/>
        <v>1128.3596722771563</v>
      </c>
      <c r="AG21" s="55">
        <f t="shared" si="0"/>
        <v>1139.8498845162635</v>
      </c>
      <c r="AH21" s="55">
        <f t="shared" si="1"/>
        <v>1132.7392207816188</v>
      </c>
      <c r="AI21" s="55">
        <f t="shared" si="67"/>
        <v>-0.02364922153756277</v>
      </c>
      <c r="AJ21" s="55">
        <f t="shared" si="2"/>
        <v>1.6206019978143025</v>
      </c>
      <c r="AK21" s="55">
        <f t="shared" si="53"/>
        <v>5.825034445975241</v>
      </c>
      <c r="AL21" s="55">
        <f t="shared" si="3"/>
        <v>1143.7531838287518</v>
      </c>
      <c r="AM21" s="56">
        <f t="shared" si="4"/>
        <v>0.47526634941020496</v>
      </c>
      <c r="AN21" s="56">
        <f t="shared" si="5"/>
        <v>0.6246140202056809</v>
      </c>
      <c r="AO21" s="56">
        <f t="shared" si="6"/>
        <v>0.0005389725970324268</v>
      </c>
      <c r="AP21" s="56">
        <f t="shared" si="7"/>
        <v>1.1004193422129183</v>
      </c>
      <c r="AQ21" s="56">
        <f t="shared" si="54"/>
        <v>0.4024210267153066</v>
      </c>
      <c r="AR21" s="3">
        <f t="shared" si="55"/>
        <v>0.8566856702195049</v>
      </c>
      <c r="AS21" s="55">
        <f t="shared" si="8"/>
        <v>-70.01214835244173</v>
      </c>
      <c r="AT21" s="55">
        <f t="shared" si="9"/>
        <v>-90.07919907826181</v>
      </c>
      <c r="AU21" s="54">
        <f t="shared" si="56"/>
        <v>0.8566856702195049</v>
      </c>
      <c r="AV21" s="4">
        <f t="shared" si="57"/>
        <v>0.5043039460907601</v>
      </c>
      <c r="AW21" s="2">
        <f t="shared" si="10"/>
        <v>0.8022636484687085</v>
      </c>
      <c r="AX21" s="2">
        <f t="shared" si="11"/>
        <v>0.06120150187734667</v>
      </c>
      <c r="AY21" s="2">
        <f t="shared" si="12"/>
        <v>0.27657905060808163</v>
      </c>
      <c r="AZ21" s="2">
        <f t="shared" si="13"/>
        <v>0.19763395963813501</v>
      </c>
      <c r="BA21" s="2">
        <f t="shared" si="14"/>
        <v>0.002255427121511136</v>
      </c>
      <c r="BB21" s="2">
        <f t="shared" si="15"/>
        <v>0.11588089330024814</v>
      </c>
      <c r="BC21" s="2">
        <f t="shared" si="16"/>
        <v>0.11358773181169758</v>
      </c>
      <c r="BD21" s="2">
        <f t="shared" si="17"/>
        <v>0.11164891900613101</v>
      </c>
      <c r="BE21" s="2">
        <f t="shared" si="18"/>
        <v>0.02462845010615711</v>
      </c>
      <c r="BF21" s="2">
        <f t="shared" si="19"/>
        <v>0.01113169927503047</v>
      </c>
      <c r="BG21" s="2">
        <f t="shared" si="20"/>
        <v>1.7168112812130474</v>
      </c>
      <c r="BH21" s="2">
        <f t="shared" si="21"/>
        <v>0.46729868171756944</v>
      </c>
      <c r="BI21" s="2">
        <f t="shared" si="21"/>
        <v>0.03564835724640831</v>
      </c>
      <c r="BJ21" s="2">
        <f t="shared" si="21"/>
        <v>0.16110043872303725</v>
      </c>
      <c r="BK21" s="2">
        <f t="shared" si="21"/>
        <v>0.1151168808131857</v>
      </c>
      <c r="BL21" s="2">
        <f t="shared" si="21"/>
        <v>0.0013137303710618205</v>
      </c>
      <c r="BM21" s="2">
        <f t="shared" si="21"/>
        <v>0.0674977468801173</v>
      </c>
      <c r="BN21" s="2">
        <f t="shared" si="21"/>
        <v>0.06616203717594393</v>
      </c>
      <c r="BO21" s="2">
        <f t="shared" si="21"/>
        <v>0.06503272679291998</v>
      </c>
      <c r="BP21" s="2">
        <f t="shared" si="21"/>
        <v>0.014345461481797455</v>
      </c>
      <c r="BQ21" s="2">
        <f t="shared" si="21"/>
        <v>0.006483938797958705</v>
      </c>
      <c r="BR21" s="2">
        <f t="shared" si="22"/>
        <v>1</v>
      </c>
      <c r="BS21" s="2">
        <f t="shared" si="23"/>
        <v>0.9320905459387484</v>
      </c>
      <c r="BT21" s="2">
        <f t="shared" si="24"/>
        <v>0.0026282853566958696</v>
      </c>
      <c r="BU21" s="2">
        <f t="shared" si="25"/>
        <v>0.5217732444095724</v>
      </c>
      <c r="BV21" s="2">
        <f t="shared" si="26"/>
        <v>0.007794015309672931</v>
      </c>
      <c r="BW21" s="2">
        <f t="shared" si="27"/>
        <v>0</v>
      </c>
      <c r="BX21" s="2">
        <f t="shared" si="28"/>
        <v>0.002481389578163772</v>
      </c>
      <c r="BY21" s="2">
        <f t="shared" si="29"/>
        <v>0.16030670470756064</v>
      </c>
      <c r="BZ21" s="2">
        <f t="shared" si="30"/>
        <v>0.18393030009680544</v>
      </c>
      <c r="CA21" s="2">
        <f t="shared" si="31"/>
        <v>0.009554140127388535</v>
      </c>
      <c r="CB21" s="2">
        <f t="shared" si="32"/>
        <v>1.820558625524608</v>
      </c>
      <c r="CC21" s="2">
        <f t="shared" si="33"/>
        <v>0.5119805167878949</v>
      </c>
      <c r="CD21" s="2">
        <f t="shared" si="33"/>
        <v>0.0014436697175508474</v>
      </c>
      <c r="CE21" s="2">
        <f t="shared" si="33"/>
        <v>0.28660062746357284</v>
      </c>
      <c r="CF21" s="2">
        <f t="shared" si="33"/>
        <v>0.004281111962229189</v>
      </c>
      <c r="CG21" s="2">
        <f t="shared" si="33"/>
        <v>0</v>
      </c>
      <c r="CH21" s="2">
        <f t="shared" si="33"/>
        <v>0.0013629825172198125</v>
      </c>
      <c r="CI21" s="2">
        <f t="shared" si="33"/>
        <v>0.08805358007153823</v>
      </c>
      <c r="CJ21" s="2">
        <f t="shared" si="33"/>
        <v>0.10102959471783256</v>
      </c>
      <c r="CK21" s="2">
        <f t="shared" si="33"/>
        <v>0.005247916762161633</v>
      </c>
      <c r="CL21" s="2">
        <f t="shared" si="34"/>
        <v>0.9999999999999999</v>
      </c>
      <c r="CN21" s="2">
        <f t="shared" si="35"/>
        <v>0.45311112786184454</v>
      </c>
      <c r="CO21" s="2">
        <f t="shared" si="36"/>
        <v>0.5198838431422164</v>
      </c>
      <c r="CP21" s="2">
        <f t="shared" si="37"/>
        <v>0.02700502899593915</v>
      </c>
      <c r="CR21" s="2">
        <f t="shared" si="38"/>
        <v>0.2563664293643194</v>
      </c>
      <c r="CS21" s="2">
        <f t="shared" si="39"/>
        <v>7.097058400566664</v>
      </c>
      <c r="CT21" s="2">
        <f t="shared" si="40"/>
        <v>-0.9102564082931075</v>
      </c>
      <c r="CU21" s="2">
        <f t="shared" si="41"/>
        <v>1.8416901408450703</v>
      </c>
      <c r="CV21" s="2">
        <f t="shared" si="42"/>
        <v>0.25009039524030874</v>
      </c>
      <c r="CW21" s="2">
        <f t="shared" si="43"/>
        <v>-0.8689199560799232</v>
      </c>
      <c r="CY21" s="2">
        <f t="shared" si="44"/>
        <v>1401.5096722771564</v>
      </c>
      <c r="CZ21" s="60">
        <f t="shared" si="58"/>
        <v>1132.7392207816188</v>
      </c>
      <c r="DA21" s="2">
        <f t="shared" si="59"/>
        <v>5</v>
      </c>
      <c r="DC21" s="2">
        <f t="shared" si="45"/>
        <v>1128.019648638826</v>
      </c>
      <c r="DD21" s="2">
        <f t="shared" si="46"/>
        <v>0.5110920284350072</v>
      </c>
      <c r="DE21" s="2">
        <f t="shared" si="47"/>
        <v>0.8984881664604261</v>
      </c>
      <c r="DF21" s="2">
        <f t="shared" si="48"/>
        <v>0</v>
      </c>
      <c r="DG21" s="2">
        <f t="shared" si="49"/>
        <v>0.4024210267153066</v>
      </c>
      <c r="DI21" s="2">
        <f t="shared" si="60"/>
        <v>2.8511556564364335</v>
      </c>
      <c r="DJ21" s="2">
        <f t="shared" si="61"/>
        <v>-0.30506893261150825</v>
      </c>
      <c r="DK21" s="2">
        <f t="shared" si="50"/>
        <v>1.1473649865883035</v>
      </c>
      <c r="DL21">
        <f t="shared" si="62"/>
        <v>-0.01034</v>
      </c>
      <c r="DM21">
        <f t="shared" si="63"/>
        <v>18.150256408293107</v>
      </c>
      <c r="DN21">
        <f t="shared" si="64"/>
        <v>-3935.3892306884563</v>
      </c>
      <c r="DO21">
        <f t="shared" si="65"/>
        <v>1501.939160607036</v>
      </c>
      <c r="DP21" s="2">
        <f t="shared" si="66"/>
        <v>1228.7891606070361</v>
      </c>
    </row>
    <row r="22" spans="1:120" ht="12.75">
      <c r="A22" s="2" t="s">
        <v>19</v>
      </c>
      <c r="B22" s="3" t="s">
        <v>27</v>
      </c>
      <c r="C22" s="25">
        <v>0.5</v>
      </c>
      <c r="D22" s="69">
        <v>1135</v>
      </c>
      <c r="F22" s="3">
        <v>4054</v>
      </c>
      <c r="G22" s="25">
        <v>49.5</v>
      </c>
      <c r="H22" s="25">
        <v>4.23</v>
      </c>
      <c r="I22" s="25">
        <v>14.8</v>
      </c>
      <c r="J22" s="25">
        <v>14</v>
      </c>
      <c r="K22" s="25">
        <v>0.16</v>
      </c>
      <c r="L22" s="25">
        <v>4.63</v>
      </c>
      <c r="M22" s="25">
        <v>6.36</v>
      </c>
      <c r="N22" s="25">
        <v>3.76</v>
      </c>
      <c r="O22" s="25">
        <v>1.04</v>
      </c>
      <c r="P22" s="25">
        <v>0</v>
      </c>
      <c r="Q22" s="25">
        <v>0.69</v>
      </c>
      <c r="R22" s="25">
        <v>0</v>
      </c>
      <c r="S22" s="2">
        <f t="shared" si="51"/>
        <v>99.17</v>
      </c>
      <c r="U22" s="25">
        <v>56.1</v>
      </c>
      <c r="V22" s="25">
        <v>0.21</v>
      </c>
      <c r="W22" s="25">
        <v>27.8</v>
      </c>
      <c r="X22" s="25">
        <v>0.56</v>
      </c>
      <c r="Y22" s="25">
        <v>0</v>
      </c>
      <c r="Z22" s="25">
        <v>0.09</v>
      </c>
      <c r="AA22" s="25">
        <v>9.94</v>
      </c>
      <c r="AB22" s="25">
        <v>5.53</v>
      </c>
      <c r="AC22" s="25">
        <v>0.38</v>
      </c>
      <c r="AD22" s="25">
        <v>0</v>
      </c>
      <c r="AF22" s="55">
        <f t="shared" si="52"/>
        <v>1136.945592080866</v>
      </c>
      <c r="AG22" s="55">
        <f t="shared" si="0"/>
        <v>1145.9469289439194</v>
      </c>
      <c r="AH22" s="55">
        <f t="shared" si="1"/>
        <v>1142.9411210970138</v>
      </c>
      <c r="AI22" s="55">
        <f t="shared" si="67"/>
        <v>-0.04388744452191751</v>
      </c>
      <c r="AJ22" s="55">
        <f t="shared" si="2"/>
        <v>1.58734624059937</v>
      </c>
      <c r="AK22" s="55">
        <f t="shared" si="53"/>
        <v>5.214513252982918</v>
      </c>
      <c r="AL22" s="55">
        <f t="shared" si="3"/>
        <v>1150.183642646712</v>
      </c>
      <c r="AM22" s="56">
        <f t="shared" si="4"/>
        <v>0.4795337110030738</v>
      </c>
      <c r="AN22" s="56">
        <f t="shared" si="5"/>
        <v>0.6095892122438775</v>
      </c>
      <c r="AO22" s="56">
        <f t="shared" si="6"/>
        <v>0.0008046197134727144</v>
      </c>
      <c r="AP22" s="56">
        <f t="shared" si="7"/>
        <v>1.089927542960424</v>
      </c>
      <c r="AQ22" s="56">
        <f t="shared" si="54"/>
        <v>0.3315848098316219</v>
      </c>
      <c r="AR22" s="3">
        <f t="shared" si="55"/>
        <v>1.0626542472733063</v>
      </c>
      <c r="AS22" s="55">
        <f t="shared" si="8"/>
        <v>-63.874423730094406</v>
      </c>
      <c r="AT22" s="55">
        <f t="shared" si="9"/>
        <v>-80.28507212913769</v>
      </c>
      <c r="AU22" s="54">
        <f t="shared" si="56"/>
        <v>1.0626542472733063</v>
      </c>
      <c r="AV22" s="4">
        <f t="shared" si="57"/>
        <v>0.4831300930587817</v>
      </c>
      <c r="AW22" s="2">
        <f t="shared" si="10"/>
        <v>0.8239014647137151</v>
      </c>
      <c r="AX22" s="2">
        <f t="shared" si="11"/>
        <v>0.052941176470588235</v>
      </c>
      <c r="AY22" s="2">
        <f t="shared" si="12"/>
        <v>0.2903099254609651</v>
      </c>
      <c r="AZ22" s="2">
        <f t="shared" si="13"/>
        <v>0.19485038274182326</v>
      </c>
      <c r="BA22" s="2">
        <f t="shared" si="14"/>
        <v>0.002255427121511136</v>
      </c>
      <c r="BB22" s="2">
        <f t="shared" si="15"/>
        <v>0.11488833746898264</v>
      </c>
      <c r="BC22" s="2">
        <f t="shared" si="16"/>
        <v>0.11340941512125535</v>
      </c>
      <c r="BD22" s="2">
        <f t="shared" si="17"/>
        <v>0.12132946111648919</v>
      </c>
      <c r="BE22" s="2">
        <f t="shared" si="18"/>
        <v>0.02208067940552017</v>
      </c>
      <c r="BF22" s="2">
        <f t="shared" si="19"/>
        <v>0.009722623417431676</v>
      </c>
      <c r="BG22" s="2">
        <f t="shared" si="20"/>
        <v>1.7456888930382821</v>
      </c>
      <c r="BH22" s="2">
        <f aca="true" t="shared" si="68" ref="BH22:BQ24">AW22/$BG22</f>
        <v>0.4719635142317694</v>
      </c>
      <c r="BI22" s="2">
        <f t="shared" si="68"/>
        <v>0.030326810625716263</v>
      </c>
      <c r="BJ22" s="2">
        <f t="shared" si="68"/>
        <v>0.16630106694194266</v>
      </c>
      <c r="BK22" s="2">
        <f t="shared" si="68"/>
        <v>0.11161804575768146</v>
      </c>
      <c r="BL22" s="2">
        <f t="shared" si="68"/>
        <v>0.001291998322556593</v>
      </c>
      <c r="BM22" s="2">
        <f t="shared" si="68"/>
        <v>0.06581260723325413</v>
      </c>
      <c r="BN22" s="2">
        <f t="shared" si="68"/>
        <v>0.06496542171604934</v>
      </c>
      <c r="BO22" s="2">
        <f t="shared" si="68"/>
        <v>0.06950233893355504</v>
      </c>
      <c r="BP22" s="2">
        <f t="shared" si="68"/>
        <v>0.012648691008791306</v>
      </c>
      <c r="BQ22" s="2">
        <f t="shared" si="68"/>
        <v>0.005569505228683645</v>
      </c>
      <c r="BR22" s="2">
        <f t="shared" si="22"/>
        <v>0.9999999999999998</v>
      </c>
      <c r="BS22" s="2">
        <f t="shared" si="23"/>
        <v>0.9337549933422105</v>
      </c>
      <c r="BT22" s="2">
        <f t="shared" si="24"/>
        <v>0.0026282853566958696</v>
      </c>
      <c r="BU22" s="2">
        <f t="shared" si="25"/>
        <v>0.5453118870145155</v>
      </c>
      <c r="BV22" s="2">
        <f t="shared" si="26"/>
        <v>0.007794015309672931</v>
      </c>
      <c r="BW22" s="2">
        <f t="shared" si="27"/>
        <v>0</v>
      </c>
      <c r="BX22" s="2">
        <f t="shared" si="28"/>
        <v>0.0022332506203473945</v>
      </c>
      <c r="BY22" s="2">
        <f t="shared" si="29"/>
        <v>0.17724679029957205</v>
      </c>
      <c r="BZ22" s="2">
        <f t="shared" si="30"/>
        <v>0.17844465956760247</v>
      </c>
      <c r="CA22" s="2">
        <f t="shared" si="31"/>
        <v>0.008067940552016985</v>
      </c>
      <c r="CB22" s="2">
        <f t="shared" si="32"/>
        <v>1.8554818220626335</v>
      </c>
      <c r="CC22" s="2">
        <f t="shared" si="33"/>
        <v>0.5032412509998121</v>
      </c>
      <c r="CD22" s="2">
        <f t="shared" si="33"/>
        <v>0.001416497497008165</v>
      </c>
      <c r="CE22" s="2">
        <f t="shared" si="33"/>
        <v>0.29389233595849695</v>
      </c>
      <c r="CF22" s="2">
        <f t="shared" si="33"/>
        <v>0.004200534447170583</v>
      </c>
      <c r="CG22" s="2">
        <f t="shared" si="33"/>
        <v>0</v>
      </c>
      <c r="CH22" s="2">
        <f t="shared" si="33"/>
        <v>0.001203596065341571</v>
      </c>
      <c r="CI22" s="2">
        <f t="shared" si="33"/>
        <v>0.09552601819754661</v>
      </c>
      <c r="CJ22" s="2">
        <f t="shared" si="33"/>
        <v>0.09617160213902592</v>
      </c>
      <c r="CK22" s="2">
        <f t="shared" si="33"/>
        <v>0.004348164695598212</v>
      </c>
      <c r="CL22" s="2">
        <f t="shared" si="34"/>
        <v>1.0000000000000002</v>
      </c>
      <c r="CN22" s="2">
        <f t="shared" si="35"/>
        <v>0.4872638204482232</v>
      </c>
      <c r="CO22" s="2">
        <f t="shared" si="36"/>
        <v>0.49055684682659384</v>
      </c>
      <c r="CP22" s="2">
        <f t="shared" si="37"/>
        <v>0.02217933272518302</v>
      </c>
      <c r="CR22" s="2">
        <f t="shared" si="38"/>
        <v>0.26055192759737617</v>
      </c>
      <c r="CS22" s="2">
        <f t="shared" si="39"/>
        <v>7.104568694976937</v>
      </c>
      <c r="CT22" s="2">
        <f t="shared" si="40"/>
        <v>-1.1038716654806766</v>
      </c>
      <c r="CU22" s="2">
        <f t="shared" si="41"/>
        <v>2.057777777777778</v>
      </c>
      <c r="CV22" s="2">
        <f t="shared" si="42"/>
        <v>0.2436880730295415</v>
      </c>
      <c r="CW22" s="2">
        <f t="shared" si="43"/>
        <v>-0.8521635436442763</v>
      </c>
      <c r="CY22" s="2">
        <f t="shared" si="44"/>
        <v>1410.095592080866</v>
      </c>
      <c r="CZ22" s="60">
        <f t="shared" si="58"/>
        <v>1142.9411210970138</v>
      </c>
      <c r="DA22" s="2">
        <f t="shared" si="59"/>
        <v>5</v>
      </c>
      <c r="DC22" s="2">
        <f t="shared" si="45"/>
        <v>1139.2943814933276</v>
      </c>
      <c r="DD22" s="2">
        <f t="shared" si="46"/>
        <v>0.5124868594725784</v>
      </c>
      <c r="DE22" s="2">
        <f t="shared" si="47"/>
        <v>1.0085561372575038</v>
      </c>
      <c r="DF22" s="2">
        <f t="shared" si="48"/>
        <v>0</v>
      </c>
      <c r="DG22" s="2">
        <f t="shared" si="49"/>
        <v>0.3315848098316219</v>
      </c>
      <c r="DI22" s="2">
        <f t="shared" si="60"/>
        <v>3.036201207668943</v>
      </c>
      <c r="DJ22" s="2">
        <f t="shared" si="61"/>
        <v>-0.31019936450733243</v>
      </c>
      <c r="DK22" s="2">
        <f t="shared" si="50"/>
        <v>1.0067582000554474</v>
      </c>
      <c r="DL22">
        <f t="shared" si="62"/>
        <v>-0.01034</v>
      </c>
      <c r="DM22">
        <f t="shared" si="63"/>
        <v>18.343871665480677</v>
      </c>
      <c r="DN22">
        <f t="shared" si="64"/>
        <v>-4001.571802144588</v>
      </c>
      <c r="DO22">
        <f t="shared" si="65"/>
        <v>1519.3562008244412</v>
      </c>
      <c r="DP22" s="2">
        <f t="shared" si="66"/>
        <v>1246.206200824441</v>
      </c>
    </row>
    <row r="23" spans="1:120" ht="12.75">
      <c r="A23" s="2" t="s">
        <v>19</v>
      </c>
      <c r="B23" s="3" t="s">
        <v>36</v>
      </c>
      <c r="C23" s="25">
        <v>0.5</v>
      </c>
      <c r="D23" s="69">
        <v>1150</v>
      </c>
      <c r="F23" s="3">
        <v>4053</v>
      </c>
      <c r="G23" s="25">
        <v>49.5</v>
      </c>
      <c r="H23" s="25">
        <v>4.04</v>
      </c>
      <c r="I23" s="25">
        <v>15.3</v>
      </c>
      <c r="J23" s="25">
        <v>13.5</v>
      </c>
      <c r="K23" s="25">
        <v>0.13</v>
      </c>
      <c r="L23" s="25">
        <v>4.65</v>
      </c>
      <c r="M23" s="25">
        <v>6.39</v>
      </c>
      <c r="N23" s="25">
        <v>3.62</v>
      </c>
      <c r="O23" s="25">
        <v>0.9</v>
      </c>
      <c r="P23" s="25">
        <v>0</v>
      </c>
      <c r="Q23" s="25">
        <v>0.66</v>
      </c>
      <c r="R23" s="25">
        <v>0</v>
      </c>
      <c r="S23" s="2">
        <f t="shared" si="51"/>
        <v>98.69000000000001</v>
      </c>
      <c r="U23" s="25">
        <v>56.4</v>
      </c>
      <c r="V23" s="25">
        <v>0.2</v>
      </c>
      <c r="W23" s="25">
        <v>27.3</v>
      </c>
      <c r="X23" s="25">
        <v>0.53</v>
      </c>
      <c r="Y23" s="25">
        <v>0</v>
      </c>
      <c r="Z23" s="25">
        <v>0.08</v>
      </c>
      <c r="AA23" s="25">
        <v>9.61</v>
      </c>
      <c r="AB23" s="25">
        <v>5.48</v>
      </c>
      <c r="AC23" s="25">
        <v>0.36</v>
      </c>
      <c r="AD23" s="25">
        <v>0</v>
      </c>
      <c r="AF23" s="55">
        <f t="shared" si="52"/>
        <v>1145.0844605248121</v>
      </c>
      <c r="AG23" s="55">
        <f t="shared" si="0"/>
        <v>1156.6404669330282</v>
      </c>
      <c r="AH23" s="55">
        <f t="shared" si="1"/>
        <v>1149.0448619125414</v>
      </c>
      <c r="AI23" s="55">
        <f t="shared" si="67"/>
        <v>0.17942952227681785</v>
      </c>
      <c r="AJ23" s="55">
        <f t="shared" si="2"/>
        <v>1.9941137061313843</v>
      </c>
      <c r="AK23" s="55">
        <f t="shared" si="53"/>
        <v>5.863856271102655</v>
      </c>
      <c r="AL23" s="55">
        <f t="shared" si="3"/>
        <v>1157.8529762791381</v>
      </c>
      <c r="AM23" s="56">
        <f t="shared" si="4"/>
        <v>0.5078204165587153</v>
      </c>
      <c r="AN23" s="56">
        <f t="shared" si="5"/>
        <v>0.5819899942627784</v>
      </c>
      <c r="AO23" s="56">
        <f t="shared" si="6"/>
        <v>0.0011444443105612357</v>
      </c>
      <c r="AP23" s="56">
        <f t="shared" si="7"/>
        <v>1.090954855132055</v>
      </c>
      <c r="AQ23" s="56">
        <f t="shared" si="54"/>
        <v>0.36666189883013883</v>
      </c>
      <c r="AR23" s="3">
        <f t="shared" si="55"/>
        <v>0.9934603566247441</v>
      </c>
      <c r="AS23" s="55">
        <f t="shared" si="8"/>
        <v>-67.34012765697085</v>
      </c>
      <c r="AT23" s="55">
        <f t="shared" si="9"/>
        <v>-80.15125448751874</v>
      </c>
      <c r="AU23" s="54">
        <f t="shared" si="56"/>
        <v>0.993460356624744</v>
      </c>
      <c r="AV23" s="4">
        <f t="shared" si="57"/>
        <v>0.4937867127540017</v>
      </c>
      <c r="AW23" s="2">
        <f t="shared" si="10"/>
        <v>0.8239014647137151</v>
      </c>
      <c r="AX23" s="2">
        <f t="shared" si="11"/>
        <v>0.05056320400500625</v>
      </c>
      <c r="AY23" s="2">
        <f t="shared" si="12"/>
        <v>0.3001176932130247</v>
      </c>
      <c r="AZ23" s="2">
        <f t="shared" si="13"/>
        <v>0.18789144050104387</v>
      </c>
      <c r="BA23" s="2">
        <f t="shared" si="14"/>
        <v>0.0018325345362277983</v>
      </c>
      <c r="BB23" s="2">
        <f t="shared" si="15"/>
        <v>0.1153846153846154</v>
      </c>
      <c r="BC23" s="2">
        <f t="shared" si="16"/>
        <v>0.11394436519258203</v>
      </c>
      <c r="BD23" s="2">
        <f t="shared" si="17"/>
        <v>0.11681187479832204</v>
      </c>
      <c r="BE23" s="2">
        <f t="shared" si="18"/>
        <v>0.01910828025477707</v>
      </c>
      <c r="BF23" s="2">
        <f t="shared" si="19"/>
        <v>0.009299900660152039</v>
      </c>
      <c r="BG23" s="2">
        <f t="shared" si="20"/>
        <v>1.738855373259466</v>
      </c>
      <c r="BH23" s="2">
        <f t="shared" si="68"/>
        <v>0.4738182814878505</v>
      </c>
      <c r="BI23" s="2">
        <f t="shared" si="68"/>
        <v>0.02907844136009199</v>
      </c>
      <c r="BJ23" s="2">
        <f t="shared" si="68"/>
        <v>0.17259497128300974</v>
      </c>
      <c r="BK23" s="2">
        <f t="shared" si="68"/>
        <v>0.10805466825503915</v>
      </c>
      <c r="BL23" s="2">
        <f t="shared" si="68"/>
        <v>0.001053874039445116</v>
      </c>
      <c r="BM23" s="2">
        <f t="shared" si="68"/>
        <v>0.06635664883867148</v>
      </c>
      <c r="BN23" s="2">
        <f t="shared" si="68"/>
        <v>0.06552837397798905</v>
      </c>
      <c r="BO23" s="2">
        <f t="shared" si="68"/>
        <v>0.06717745282021897</v>
      </c>
      <c r="BP23" s="2">
        <f t="shared" si="68"/>
        <v>0.0109889991707354</v>
      </c>
      <c r="BQ23" s="2">
        <f t="shared" si="68"/>
        <v>0.005348288766948727</v>
      </c>
      <c r="BR23" s="2">
        <f t="shared" si="22"/>
        <v>1.0000000000000002</v>
      </c>
      <c r="BS23" s="2">
        <f t="shared" si="23"/>
        <v>0.9387483355525965</v>
      </c>
      <c r="BT23" s="2">
        <f t="shared" si="24"/>
        <v>0.0025031289111389237</v>
      </c>
      <c r="BU23" s="2">
        <f t="shared" si="25"/>
        <v>0.5355041192624559</v>
      </c>
      <c r="BV23" s="2">
        <f t="shared" si="26"/>
        <v>0.007376478775226167</v>
      </c>
      <c r="BW23" s="2">
        <f t="shared" si="27"/>
        <v>0</v>
      </c>
      <c r="BX23" s="2">
        <f t="shared" si="28"/>
        <v>0.0019851116625310174</v>
      </c>
      <c r="BY23" s="2">
        <f t="shared" si="29"/>
        <v>0.1713623395149786</v>
      </c>
      <c r="BZ23" s="2">
        <f t="shared" si="30"/>
        <v>0.1768312358825428</v>
      </c>
      <c r="CA23" s="2">
        <f t="shared" si="31"/>
        <v>0.007643312101910827</v>
      </c>
      <c r="CB23" s="2">
        <f t="shared" si="32"/>
        <v>1.8419540616633807</v>
      </c>
      <c r="CC23" s="2">
        <f t="shared" si="33"/>
        <v>0.5096480716271815</v>
      </c>
      <c r="CD23" s="2">
        <f t="shared" si="33"/>
        <v>0.0013589529528648871</v>
      </c>
      <c r="CE23" s="2">
        <f t="shared" si="33"/>
        <v>0.29072609920513853</v>
      </c>
      <c r="CF23" s="2">
        <f t="shared" si="33"/>
        <v>0.004004702901528837</v>
      </c>
      <c r="CG23" s="2">
        <f t="shared" si="33"/>
        <v>0</v>
      </c>
      <c r="CH23" s="2">
        <f t="shared" si="33"/>
        <v>0.001077720505547439</v>
      </c>
      <c r="CI23" s="2">
        <f t="shared" si="33"/>
        <v>0.09303290623883934</v>
      </c>
      <c r="CJ23" s="2">
        <f t="shared" si="33"/>
        <v>0.0960019793994509</v>
      </c>
      <c r="CK23" s="2">
        <f t="shared" si="33"/>
        <v>0.004149567169448578</v>
      </c>
      <c r="CL23" s="2">
        <f t="shared" si="34"/>
        <v>1</v>
      </c>
      <c r="CN23" s="2">
        <f t="shared" si="35"/>
        <v>0.48157553512563256</v>
      </c>
      <c r="CO23" s="2">
        <f t="shared" si="36"/>
        <v>0.4969446454109538</v>
      </c>
      <c r="CP23" s="2">
        <f t="shared" si="37"/>
        <v>0.021479819463413652</v>
      </c>
      <c r="CR23" s="2">
        <f t="shared" si="38"/>
        <v>0.2670040729257619</v>
      </c>
      <c r="CS23" s="2">
        <f t="shared" si="39"/>
        <v>7.002057932264475</v>
      </c>
      <c r="CT23" s="2">
        <f t="shared" si="40"/>
        <v>-1.0033151121388577</v>
      </c>
      <c r="CU23" s="2">
        <f t="shared" si="41"/>
        <v>2.2819444444444446</v>
      </c>
      <c r="CV23" s="2">
        <f t="shared" si="42"/>
        <v>0.2409935651111448</v>
      </c>
      <c r="CW23" s="2">
        <f t="shared" si="43"/>
        <v>-0.8696805017089422</v>
      </c>
      <c r="CY23" s="2">
        <f t="shared" si="44"/>
        <v>1418.2344605248122</v>
      </c>
      <c r="CZ23" s="60">
        <f t="shared" si="58"/>
        <v>1149.0448619125414</v>
      </c>
      <c r="DA23" s="2">
        <f t="shared" si="59"/>
        <v>5</v>
      </c>
      <c r="DC23" s="2">
        <f t="shared" si="45"/>
        <v>1145.6337042234672</v>
      </c>
      <c r="DD23" s="2">
        <f t="shared" si="46"/>
        <v>0.5226434563930379</v>
      </c>
      <c r="DE23" s="2">
        <f t="shared" si="47"/>
        <v>0.9752703397783556</v>
      </c>
      <c r="DF23" s="2">
        <f t="shared" si="48"/>
        <v>0</v>
      </c>
      <c r="DG23" s="2">
        <f t="shared" si="49"/>
        <v>0.3666618988301388</v>
      </c>
      <c r="DI23" s="2">
        <f t="shared" si="60"/>
        <v>2.8143481199470712</v>
      </c>
      <c r="DJ23" s="2">
        <f t="shared" si="61"/>
        <v>-0.3028723890470707</v>
      </c>
      <c r="DK23" s="2">
        <f t="shared" si="50"/>
        <v>1.0319142256288243</v>
      </c>
      <c r="DL23">
        <f t="shared" si="62"/>
        <v>-0.01034</v>
      </c>
      <c r="DM23">
        <f t="shared" si="63"/>
        <v>18.243315112138855</v>
      </c>
      <c r="DN23">
        <f t="shared" si="64"/>
        <v>-3907.053818707212</v>
      </c>
      <c r="DO23">
        <f t="shared" si="65"/>
        <v>1514.9191563611214</v>
      </c>
      <c r="DP23" s="2">
        <f t="shared" si="66"/>
        <v>1241.7691563611215</v>
      </c>
    </row>
    <row r="24" spans="1:120" ht="12.75">
      <c r="A24" s="2" t="s">
        <v>19</v>
      </c>
      <c r="B24" s="3" t="s">
        <v>49</v>
      </c>
      <c r="C24" s="25">
        <v>0.0001</v>
      </c>
      <c r="D24" s="69">
        <v>1090</v>
      </c>
      <c r="F24" s="3">
        <v>4049</v>
      </c>
      <c r="G24" s="25">
        <v>52</v>
      </c>
      <c r="H24" s="25">
        <v>4.04</v>
      </c>
      <c r="I24" s="25">
        <v>12.5</v>
      </c>
      <c r="J24" s="25">
        <v>14.3</v>
      </c>
      <c r="K24" s="25">
        <v>0.15</v>
      </c>
      <c r="L24" s="25">
        <v>3.3</v>
      </c>
      <c r="M24" s="25">
        <v>6.71</v>
      </c>
      <c r="N24" s="25">
        <v>2.8</v>
      </c>
      <c r="O24" s="25">
        <v>1.41</v>
      </c>
      <c r="P24" s="25">
        <v>0.02</v>
      </c>
      <c r="Q24" s="25">
        <v>1.17</v>
      </c>
      <c r="R24" s="25">
        <v>0</v>
      </c>
      <c r="S24" s="2">
        <f t="shared" si="51"/>
        <v>98.39999999999998</v>
      </c>
      <c r="U24" s="25">
        <v>56</v>
      </c>
      <c r="V24" s="25">
        <v>0.14</v>
      </c>
      <c r="W24" s="25">
        <v>27</v>
      </c>
      <c r="X24" s="25">
        <v>0.64</v>
      </c>
      <c r="Y24" s="25">
        <v>0</v>
      </c>
      <c r="Z24" s="25">
        <v>0.09</v>
      </c>
      <c r="AA24" s="25">
        <v>9.68</v>
      </c>
      <c r="AB24" s="25">
        <v>5.26</v>
      </c>
      <c r="AC24" s="25">
        <v>0.5</v>
      </c>
      <c r="AD24" s="25">
        <v>0</v>
      </c>
      <c r="AF24" s="55">
        <f t="shared" si="52"/>
        <v>1091.6791847557165</v>
      </c>
      <c r="AG24" s="55">
        <f t="shared" si="0"/>
        <v>1094.7697261076455</v>
      </c>
      <c r="AH24" s="55">
        <f t="shared" si="1"/>
        <v>1102.1157588100764</v>
      </c>
      <c r="AI24" s="55">
        <f t="shared" si="67"/>
        <v>-0.4201242006710537</v>
      </c>
      <c r="AJ24" s="55">
        <f t="shared" si="2"/>
        <v>2.2527824705564026</v>
      </c>
      <c r="AK24" s="55">
        <f t="shared" si="53"/>
        <v>0.8526413912287767</v>
      </c>
      <c r="AL24" s="55">
        <f t="shared" si="3"/>
        <v>1116.2731428025745</v>
      </c>
      <c r="AM24" s="56">
        <f t="shared" si="4"/>
        <v>0.4949403130051471</v>
      </c>
      <c r="AN24" s="56">
        <f t="shared" si="5"/>
        <v>0.49742394040485144</v>
      </c>
      <c r="AO24" s="56">
        <f t="shared" si="6"/>
        <v>0.00020919971141126402</v>
      </c>
      <c r="AP24" s="56">
        <f t="shared" si="7"/>
        <v>0.9925734531214099</v>
      </c>
      <c r="AQ24" s="56">
        <f t="shared" si="54"/>
        <v>0.3689025335688243</v>
      </c>
      <c r="AR24" s="3">
        <f t="shared" si="55"/>
        <v>0.7679361715389887</v>
      </c>
      <c r="AS24" s="55">
        <f t="shared" si="8"/>
        <v>-92.78329664970218</v>
      </c>
      <c r="AT24" s="55">
        <f t="shared" si="9"/>
        <v>-117.99692634254004</v>
      </c>
      <c r="AU24" s="54">
        <f t="shared" si="56"/>
        <v>0.7679361715389887</v>
      </c>
      <c r="AV24" s="4">
        <f t="shared" si="57"/>
        <v>0.5697582438297829</v>
      </c>
      <c r="AW24" s="2">
        <f t="shared" si="10"/>
        <v>0.8655126498002663</v>
      </c>
      <c r="AX24" s="2">
        <f t="shared" si="11"/>
        <v>0.05056320400500625</v>
      </c>
      <c r="AY24" s="2">
        <f t="shared" si="12"/>
        <v>0.2451941938014908</v>
      </c>
      <c r="AZ24" s="2">
        <f t="shared" si="13"/>
        <v>0.19902574808629092</v>
      </c>
      <c r="BA24" s="2">
        <f t="shared" si="14"/>
        <v>0.00211446292641669</v>
      </c>
      <c r="BB24" s="2">
        <f t="shared" si="15"/>
        <v>0.08188585607940446</v>
      </c>
      <c r="BC24" s="2">
        <f t="shared" si="16"/>
        <v>0.11965049928673324</v>
      </c>
      <c r="BD24" s="2">
        <f t="shared" si="17"/>
        <v>0.09035172636334302</v>
      </c>
      <c r="BE24" s="2">
        <f t="shared" si="18"/>
        <v>0.029936305732484073</v>
      </c>
      <c r="BF24" s="2">
        <f t="shared" si="19"/>
        <v>0.016486187533905884</v>
      </c>
      <c r="BG24" s="2">
        <f t="shared" si="20"/>
        <v>1.700720833615342</v>
      </c>
      <c r="BH24" s="2">
        <f t="shared" si="68"/>
        <v>0.5089093005113515</v>
      </c>
      <c r="BI24" s="2">
        <f t="shared" si="68"/>
        <v>0.029730454878664884</v>
      </c>
      <c r="BJ24" s="2">
        <f t="shared" si="68"/>
        <v>0.14417074745904312</v>
      </c>
      <c r="BK24" s="2">
        <f t="shared" si="68"/>
        <v>0.11702434882461449</v>
      </c>
      <c r="BL24" s="2">
        <f t="shared" si="68"/>
        <v>0.0012432745484288726</v>
      </c>
      <c r="BM24" s="2">
        <f t="shared" si="68"/>
        <v>0.04814773504322513</v>
      </c>
      <c r="BN24" s="2">
        <f t="shared" si="68"/>
        <v>0.07035281565427981</v>
      </c>
      <c r="BO24" s="2">
        <f t="shared" si="68"/>
        <v>0.053125548048515395</v>
      </c>
      <c r="BP24" s="2">
        <f t="shared" si="68"/>
        <v>0.017602127957030055</v>
      </c>
      <c r="BQ24" s="2">
        <f t="shared" si="68"/>
        <v>0.009693647074846512</v>
      </c>
      <c r="BR24" s="2">
        <f t="shared" si="22"/>
        <v>0.9999999999999998</v>
      </c>
      <c r="BS24" s="2">
        <f t="shared" si="23"/>
        <v>0.9320905459387484</v>
      </c>
      <c r="BT24" s="2">
        <f t="shared" si="24"/>
        <v>0.0017521902377972466</v>
      </c>
      <c r="BU24" s="2">
        <f t="shared" si="25"/>
        <v>0.5296194586112202</v>
      </c>
      <c r="BV24" s="2">
        <f t="shared" si="26"/>
        <v>0.008907446068197634</v>
      </c>
      <c r="BW24" s="2">
        <f t="shared" si="27"/>
        <v>0</v>
      </c>
      <c r="BX24" s="2">
        <f t="shared" si="28"/>
        <v>0.0022332506203473945</v>
      </c>
      <c r="BY24" s="2">
        <f t="shared" si="29"/>
        <v>0.17261055634807418</v>
      </c>
      <c r="BZ24" s="2">
        <f t="shared" si="30"/>
        <v>0.16973217166828009</v>
      </c>
      <c r="CA24" s="2">
        <f t="shared" si="31"/>
        <v>0.010615711252653927</v>
      </c>
      <c r="CB24" s="2">
        <f t="shared" si="32"/>
        <v>1.827561330745319</v>
      </c>
      <c r="CC24" s="2">
        <f t="shared" si="33"/>
        <v>0.510018750264661</v>
      </c>
      <c r="CD24" s="2">
        <f t="shared" si="33"/>
        <v>0.0009587586519368221</v>
      </c>
      <c r="CE24" s="2">
        <f t="shared" si="33"/>
        <v>0.28979572378850343</v>
      </c>
      <c r="CF24" s="2">
        <f t="shared" si="33"/>
        <v>0.004873951926179673</v>
      </c>
      <c r="CG24" s="2">
        <f t="shared" si="33"/>
        <v>0</v>
      </c>
      <c r="CH24" s="2">
        <f t="shared" si="33"/>
        <v>0.001221983953576336</v>
      </c>
      <c r="CI24" s="2">
        <f t="shared" si="33"/>
        <v>0.09444857113368658</v>
      </c>
      <c r="CJ24" s="2">
        <f t="shared" si="33"/>
        <v>0.09287358449363757</v>
      </c>
      <c r="CK24" s="2">
        <f t="shared" si="33"/>
        <v>0.005808675787818629</v>
      </c>
      <c r="CL24" s="2">
        <f t="shared" si="34"/>
        <v>1</v>
      </c>
      <c r="CN24" s="2">
        <f t="shared" si="35"/>
        <v>0.48903932345563944</v>
      </c>
      <c r="CO24" s="2">
        <f t="shared" si="36"/>
        <v>0.48088429906875885</v>
      </c>
      <c r="CP24" s="2">
        <f t="shared" si="37"/>
        <v>0.030076377475601768</v>
      </c>
      <c r="CR24" s="2">
        <f t="shared" si="38"/>
        <v>0.2207550941222119</v>
      </c>
      <c r="CS24" s="2">
        <f t="shared" si="39"/>
        <v>7.163404906919918</v>
      </c>
      <c r="CT24" s="2">
        <f t="shared" si="40"/>
        <v>-0.9972228065016969</v>
      </c>
      <c r="CU24" s="2">
        <f t="shared" si="41"/>
        <v>1.6410256410256407</v>
      </c>
      <c r="CV24" s="2">
        <f t="shared" si="42"/>
        <v>0.2367681740705483</v>
      </c>
      <c r="CW24" s="2">
        <f t="shared" si="43"/>
        <v>-0.7561649308661431</v>
      </c>
      <c r="CY24" s="2">
        <f t="shared" si="44"/>
        <v>1364.8291847557166</v>
      </c>
      <c r="CZ24" s="60">
        <f t="shared" si="58"/>
        <v>1102.1157588100764</v>
      </c>
      <c r="DA24" s="2">
        <f t="shared" si="59"/>
        <v>0.001</v>
      </c>
      <c r="DC24" s="2">
        <f t="shared" si="45"/>
        <v>1099.896944125318</v>
      </c>
      <c r="DD24" s="2">
        <f t="shared" si="46"/>
        <v>0.42314432716822026</v>
      </c>
      <c r="DE24" s="2">
        <f t="shared" si="47"/>
        <v>0.8583277710357123</v>
      </c>
      <c r="DF24" s="2">
        <f t="shared" si="48"/>
        <v>0</v>
      </c>
      <c r="DG24" s="2">
        <f t="shared" si="49"/>
        <v>0.3689025335688243</v>
      </c>
      <c r="DI24" s="2">
        <f t="shared" si="60"/>
        <v>2.665539837818033</v>
      </c>
      <c r="DJ24" s="2">
        <f t="shared" si="61"/>
        <v>-0.34751128544654397</v>
      </c>
      <c r="DK24" s="2">
        <f t="shared" si="50"/>
        <v>0.9833243994997054</v>
      </c>
      <c r="DL24">
        <f t="shared" si="62"/>
        <v>-0.01034</v>
      </c>
      <c r="DM24">
        <f t="shared" si="63"/>
        <v>18.237222806501695</v>
      </c>
      <c r="DN24">
        <f t="shared" si="64"/>
        <v>-4482.8955822604175</v>
      </c>
      <c r="DO24">
        <f t="shared" si="65"/>
        <v>1468.5277162842417</v>
      </c>
      <c r="DP24" s="2">
        <f t="shared" si="66"/>
        <v>1195.3777162842416</v>
      </c>
    </row>
    <row r="25" spans="1:120" ht="12.75">
      <c r="A25" s="2" t="s">
        <v>127</v>
      </c>
      <c r="B25" s="3">
        <v>130</v>
      </c>
      <c r="C25" s="25">
        <v>0.0001</v>
      </c>
      <c r="D25" s="69">
        <v>1109</v>
      </c>
      <c r="F25" s="3">
        <v>4727</v>
      </c>
      <c r="G25" s="25">
        <v>57.8</v>
      </c>
      <c r="H25" s="25">
        <v>1.87</v>
      </c>
      <c r="I25" s="25">
        <v>13.7</v>
      </c>
      <c r="J25" s="25">
        <v>9.35</v>
      </c>
      <c r="K25" s="25">
        <v>0.2</v>
      </c>
      <c r="L25" s="25">
        <v>3.41</v>
      </c>
      <c r="M25" s="25">
        <v>6.33</v>
      </c>
      <c r="N25" s="25">
        <v>3.82</v>
      </c>
      <c r="O25" s="25">
        <v>1.94</v>
      </c>
      <c r="P25" s="25">
        <v>0.04</v>
      </c>
      <c r="Q25" s="25">
        <v>0.3</v>
      </c>
      <c r="R25" s="25">
        <v>0</v>
      </c>
      <c r="S25" s="2">
        <f t="shared" si="51"/>
        <v>98.75999999999998</v>
      </c>
      <c r="U25" s="25">
        <v>54.5</v>
      </c>
      <c r="V25" s="25">
        <v>0</v>
      </c>
      <c r="W25" s="25">
        <v>27.5</v>
      </c>
      <c r="X25" s="25">
        <v>0.75</v>
      </c>
      <c r="Y25" s="25">
        <v>0</v>
      </c>
      <c r="Z25" s="25">
        <v>0.24</v>
      </c>
      <c r="AA25" s="25">
        <v>11.1</v>
      </c>
      <c r="AB25" s="25">
        <v>4.74</v>
      </c>
      <c r="AC25" s="25">
        <v>0.35</v>
      </c>
      <c r="AD25" s="25">
        <v>0</v>
      </c>
      <c r="AF25" s="55">
        <f t="shared" si="52"/>
        <v>1100.9038700213932</v>
      </c>
      <c r="AG25" s="55">
        <f t="shared" si="0"/>
        <v>1093.6853753912947</v>
      </c>
      <c r="AH25" s="55">
        <f t="shared" si="1"/>
        <v>1106.673705480211</v>
      </c>
      <c r="AI25" s="55">
        <f t="shared" si="67"/>
        <v>0.20369717606166327</v>
      </c>
      <c r="AJ25" s="55">
        <f t="shared" si="2"/>
        <v>2.72690156778791</v>
      </c>
      <c r="AK25" s="55">
        <f t="shared" si="53"/>
        <v>1.4100978246650535</v>
      </c>
      <c r="AL25" s="55">
        <f t="shared" si="3"/>
        <v>1113.287803018878</v>
      </c>
      <c r="AM25" s="56">
        <f t="shared" si="4"/>
        <v>0.4951052226890751</v>
      </c>
      <c r="AN25" s="56">
        <f t="shared" si="5"/>
        <v>0.4893145984215392</v>
      </c>
      <c r="AO25" s="56">
        <f t="shared" si="6"/>
        <v>7.708486646439346E-05</v>
      </c>
      <c r="AP25" s="56">
        <f t="shared" si="7"/>
        <v>0.9844969059770787</v>
      </c>
      <c r="AQ25" s="56">
        <f t="shared" si="54"/>
        <v>0.1976598819227059</v>
      </c>
      <c r="AR25" s="3">
        <f t="shared" si="55"/>
        <v>1.413202151698762</v>
      </c>
      <c r="AS25" s="55">
        <f t="shared" si="8"/>
        <v>-61.64497224983094</v>
      </c>
      <c r="AT25" s="55">
        <f t="shared" si="9"/>
        <v>-82.67582693225498</v>
      </c>
      <c r="AU25" s="54">
        <f t="shared" si="56"/>
        <v>1.413202151698762</v>
      </c>
      <c r="AV25" s="4">
        <f t="shared" si="57"/>
        <v>0.477998003373845</v>
      </c>
      <c r="AW25" s="2">
        <f t="shared" si="10"/>
        <v>0.9620505992010653</v>
      </c>
      <c r="AX25" s="2">
        <f t="shared" si="11"/>
        <v>0.023404255319148935</v>
      </c>
      <c r="AY25" s="2">
        <f t="shared" si="12"/>
        <v>0.2687328364064339</v>
      </c>
      <c r="AZ25" s="2">
        <f t="shared" si="13"/>
        <v>0.1301322199025748</v>
      </c>
      <c r="BA25" s="2">
        <f t="shared" si="14"/>
        <v>0.0028192839018889204</v>
      </c>
      <c r="BB25" s="2">
        <f t="shared" si="15"/>
        <v>0.08461538461538462</v>
      </c>
      <c r="BC25" s="2">
        <f t="shared" si="16"/>
        <v>0.11287446504992868</v>
      </c>
      <c r="BD25" s="2">
        <f t="shared" si="17"/>
        <v>0.12326556953856083</v>
      </c>
      <c r="BE25" s="2">
        <f t="shared" si="18"/>
        <v>0.04118895966029724</v>
      </c>
      <c r="BF25" s="2">
        <f t="shared" si="19"/>
        <v>0.004227227572796381</v>
      </c>
      <c r="BG25" s="2">
        <f>SUM(AW25:BF25)</f>
        <v>1.7533108011680796</v>
      </c>
      <c r="BH25" s="2">
        <f aca="true" t="shared" si="69" ref="BH25:BL27">AW25/$BG25</f>
        <v>0.5487051118148214</v>
      </c>
      <c r="BI25" s="2">
        <f t="shared" si="69"/>
        <v>0.013348606136206257</v>
      </c>
      <c r="BJ25" s="2">
        <f t="shared" si="69"/>
        <v>0.15327164825962428</v>
      </c>
      <c r="BK25" s="2">
        <f t="shared" si="69"/>
        <v>0.07422085109832151</v>
      </c>
      <c r="BL25" s="2">
        <f t="shared" si="69"/>
        <v>0.0016079772622233748</v>
      </c>
      <c r="BM25" s="2">
        <f aca="true" t="shared" si="70" ref="BM25:BQ27">BB25/$BG25</f>
        <v>0.04826034526166878</v>
      </c>
      <c r="BN25" s="2">
        <f t="shared" si="70"/>
        <v>0.0643778986445131</v>
      </c>
      <c r="BO25" s="2">
        <f t="shared" si="70"/>
        <v>0.07030446025681221</v>
      </c>
      <c r="BP25" s="2">
        <f t="shared" si="70"/>
        <v>0.023492103985703273</v>
      </c>
      <c r="BQ25" s="2">
        <f t="shared" si="70"/>
        <v>0.002410997280105811</v>
      </c>
      <c r="BR25" s="2">
        <f>SUM(BH25:BQ25)</f>
        <v>1</v>
      </c>
      <c r="BS25" s="2">
        <f t="shared" si="23"/>
        <v>0.9071238348868176</v>
      </c>
      <c r="BT25" s="2">
        <f t="shared" si="24"/>
        <v>0</v>
      </c>
      <c r="BU25" s="2">
        <f t="shared" si="25"/>
        <v>0.5394272263632798</v>
      </c>
      <c r="BV25" s="2">
        <f t="shared" si="26"/>
        <v>0.010438413361169104</v>
      </c>
      <c r="BW25" s="2">
        <f t="shared" si="27"/>
        <v>0</v>
      </c>
      <c r="BX25" s="2">
        <f t="shared" si="28"/>
        <v>0.005955334987593052</v>
      </c>
      <c r="BY25" s="2">
        <f t="shared" si="29"/>
        <v>0.1979315263908702</v>
      </c>
      <c r="BZ25" s="2">
        <f t="shared" si="30"/>
        <v>0.15295256534365925</v>
      </c>
      <c r="CA25" s="2">
        <f t="shared" si="31"/>
        <v>0.007430997876857749</v>
      </c>
      <c r="CB25" s="2">
        <f>SUM(BS25:CA25)</f>
        <v>1.821259899210247</v>
      </c>
      <c r="CC25" s="2">
        <f aca="true" t="shared" si="71" ref="CC25:CH27">BS25/$CB25</f>
        <v>0.49807489599928806</v>
      </c>
      <c r="CD25" s="2">
        <f t="shared" si="71"/>
        <v>0</v>
      </c>
      <c r="CE25" s="2">
        <f t="shared" si="71"/>
        <v>0.2961835521647359</v>
      </c>
      <c r="CF25" s="2">
        <f t="shared" si="71"/>
        <v>0.0057314243649110785</v>
      </c>
      <c r="CG25" s="2">
        <f t="shared" si="71"/>
        <v>0</v>
      </c>
      <c r="CH25" s="2">
        <f t="shared" si="71"/>
        <v>0.0032698984863036105</v>
      </c>
      <c r="CI25" s="2">
        <f aca="true" t="shared" si="72" ref="CI25:CK27">BY25/$CB25</f>
        <v>0.1086783530877165</v>
      </c>
      <c r="CJ25" s="2">
        <f t="shared" si="72"/>
        <v>0.08398173451794776</v>
      </c>
      <c r="CK25" s="2">
        <f t="shared" si="72"/>
        <v>0.004080141379096994</v>
      </c>
      <c r="CL25" s="2">
        <f>SUM(CC25:CK25)</f>
        <v>0.9999999999999999</v>
      </c>
      <c r="CN25" s="2">
        <f>CI25/(CI25+CJ25+CK25)</f>
        <v>0.5523951743297723</v>
      </c>
      <c r="CO25" s="2">
        <f>CJ25/(CI25+CJ25+CK25)</f>
        <v>0.4268661013119623</v>
      </c>
      <c r="CP25" s="2">
        <f>1-CN25-CO25</f>
        <v>0.02073872435826546</v>
      </c>
      <c r="CR25" s="2">
        <f>BJ25/(BJ25+BH25)</f>
        <v>0.2183429095905819</v>
      </c>
      <c r="CS25" s="2">
        <f>LN(CN25/(BH25^2*BJ25^2*BN25))</f>
        <v>7.100968443812626</v>
      </c>
      <c r="CT25" s="2">
        <f>LN((CO25*BJ25*BN25)/(BO25*BH25*CN25))</f>
        <v>-1.6212074934100447</v>
      </c>
      <c r="CU25" s="2">
        <f>(CF25/CH25)/(BK25/BM25)</f>
        <v>1.1397058823529413</v>
      </c>
      <c r="CV25" s="2">
        <f>BM25+BK25+BN25+BL25</f>
        <v>0.18846707226672674</v>
      </c>
      <c r="CW25" s="2">
        <f>(7/2)*LN(1-BJ25)+7*LN(1-BI25)</f>
        <v>-0.6763832361768392</v>
      </c>
      <c r="CY25" s="2">
        <f t="shared" si="44"/>
        <v>1374.0538700213933</v>
      </c>
      <c r="CZ25" s="60">
        <f t="shared" si="58"/>
        <v>1106.673705480211</v>
      </c>
      <c r="DA25" s="2">
        <f t="shared" si="59"/>
        <v>0.001</v>
      </c>
      <c r="DC25" s="2">
        <f t="shared" si="45"/>
        <v>1106.7265192081761</v>
      </c>
      <c r="DD25" s="2">
        <f>BM25/40.3/(BM25/40.3+BK25/71.85)</f>
        <v>0.53688144933648</v>
      </c>
      <c r="DE25" s="2">
        <f t="shared" si="47"/>
        <v>1.155643267191099</v>
      </c>
      <c r="DF25" s="2">
        <f>E25</f>
        <v>0</v>
      </c>
      <c r="DG25" s="2">
        <f t="shared" si="49"/>
        <v>0.1976598819227059</v>
      </c>
      <c r="DI25" s="2">
        <f t="shared" si="60"/>
        <v>3.9095183869807477</v>
      </c>
      <c r="DJ25" s="2">
        <f t="shared" si="61"/>
        <v>-0.4013600251674962</v>
      </c>
      <c r="DK25" s="2">
        <f t="shared" si="50"/>
        <v>0.7727549427452622</v>
      </c>
      <c r="DL25">
        <f t="shared" si="62"/>
        <v>-0.01034</v>
      </c>
      <c r="DM25">
        <f t="shared" si="63"/>
        <v>18.861207493410042</v>
      </c>
      <c r="DN25">
        <f t="shared" si="64"/>
        <v>-5177.544324660701</v>
      </c>
      <c r="DO25">
        <f t="shared" si="65"/>
        <v>1487.469428240763</v>
      </c>
      <c r="DP25" s="2">
        <f t="shared" si="66"/>
        <v>1214.319428240763</v>
      </c>
    </row>
    <row r="26" spans="1:120" ht="12.75">
      <c r="A26" s="2" t="s">
        <v>127</v>
      </c>
      <c r="B26" s="3">
        <v>129</v>
      </c>
      <c r="C26" s="25">
        <v>0.0001</v>
      </c>
      <c r="D26" s="69">
        <v>1116</v>
      </c>
      <c r="F26" s="3">
        <v>4726</v>
      </c>
      <c r="G26" s="25">
        <v>57.9</v>
      </c>
      <c r="H26" s="25">
        <v>1.77</v>
      </c>
      <c r="I26" s="25">
        <v>13.8</v>
      </c>
      <c r="J26" s="25">
        <v>9.45</v>
      </c>
      <c r="K26" s="25">
        <v>0.19</v>
      </c>
      <c r="L26" s="25">
        <v>3.67</v>
      </c>
      <c r="M26" s="25">
        <v>6.78</v>
      </c>
      <c r="N26" s="25">
        <v>3.82</v>
      </c>
      <c r="O26" s="25">
        <v>1.81</v>
      </c>
      <c r="P26" s="25">
        <v>0.01</v>
      </c>
      <c r="Q26" s="25">
        <v>0.37</v>
      </c>
      <c r="R26" s="25">
        <v>0</v>
      </c>
      <c r="S26" s="2">
        <f t="shared" si="51"/>
        <v>99.57000000000001</v>
      </c>
      <c r="U26" s="25">
        <v>53.8</v>
      </c>
      <c r="V26" s="25">
        <v>0</v>
      </c>
      <c r="W26" s="25">
        <v>28.3</v>
      </c>
      <c r="X26" s="25">
        <v>0.67</v>
      </c>
      <c r="Y26" s="25">
        <v>0</v>
      </c>
      <c r="Z26" s="25">
        <v>0.2</v>
      </c>
      <c r="AA26" s="25">
        <v>11.9</v>
      </c>
      <c r="AB26" s="25">
        <v>4.45</v>
      </c>
      <c r="AC26" s="25">
        <v>0.29</v>
      </c>
      <c r="AD26" s="25">
        <v>0</v>
      </c>
      <c r="AF26" s="55">
        <f t="shared" si="52"/>
        <v>1108.6324596680524</v>
      </c>
      <c r="AG26" s="55">
        <f t="shared" si="0"/>
        <v>1098.796512573535</v>
      </c>
      <c r="AH26" s="55">
        <f t="shared" si="1"/>
        <v>1115.561253937643</v>
      </c>
      <c r="AI26" s="55">
        <f t="shared" si="67"/>
        <v>0.07430248627027836</v>
      </c>
      <c r="AJ26" s="55">
        <f t="shared" si="2"/>
        <v>2.571894095468228</v>
      </c>
      <c r="AK26" s="55">
        <f t="shared" si="53"/>
        <v>0.9383890839878171</v>
      </c>
      <c r="AL26" s="55">
        <f t="shared" si="3"/>
        <v>1118.5551998686678</v>
      </c>
      <c r="AM26" s="56">
        <f t="shared" si="4"/>
        <v>0.509649830017894</v>
      </c>
      <c r="AN26" s="56">
        <f t="shared" si="5"/>
        <v>0.4736307616430792</v>
      </c>
      <c r="AO26" s="56">
        <f t="shared" si="6"/>
        <v>7.612472164812794E-05</v>
      </c>
      <c r="AP26" s="56">
        <f t="shared" si="7"/>
        <v>0.9833567163826213</v>
      </c>
      <c r="AQ26" s="56">
        <f t="shared" si="54"/>
        <v>0.18642750874535394</v>
      </c>
      <c r="AR26" s="3">
        <f t="shared" si="55"/>
        <v>1.506678598654337</v>
      </c>
      <c r="AS26" s="55">
        <f t="shared" si="8"/>
        <v>-85.2573024462055</v>
      </c>
      <c r="AT26" s="55">
        <f t="shared" si="9"/>
        <v>-103.8794081058266</v>
      </c>
      <c r="AU26" s="54">
        <f t="shared" si="56"/>
        <v>1.506678598654337</v>
      </c>
      <c r="AV26" s="4">
        <f t="shared" si="57"/>
        <v>0.49515315392595244</v>
      </c>
      <c r="AW26" s="2">
        <f t="shared" si="10"/>
        <v>0.9637150466045273</v>
      </c>
      <c r="AX26" s="2">
        <f t="shared" si="11"/>
        <v>0.022152690863579474</v>
      </c>
      <c r="AY26" s="2">
        <f t="shared" si="12"/>
        <v>0.27069438995684586</v>
      </c>
      <c r="AZ26" s="2">
        <f t="shared" si="13"/>
        <v>0.1315240083507307</v>
      </c>
      <c r="BA26" s="2">
        <f t="shared" si="14"/>
        <v>0.0026783197067944743</v>
      </c>
      <c r="BB26" s="2">
        <f t="shared" si="15"/>
        <v>0.09106699751861043</v>
      </c>
      <c r="BC26" s="2">
        <f t="shared" si="16"/>
        <v>0.12089871611982883</v>
      </c>
      <c r="BD26" s="2">
        <f t="shared" si="17"/>
        <v>0.12326556953856083</v>
      </c>
      <c r="BE26" s="2">
        <f t="shared" si="18"/>
        <v>0.03842887473460722</v>
      </c>
      <c r="BF26" s="2">
        <f t="shared" si="19"/>
        <v>0.005213580673115537</v>
      </c>
      <c r="BG26" s="2">
        <f>SUM(AW26:BF26)</f>
        <v>1.769638194067201</v>
      </c>
      <c r="BH26" s="2">
        <f t="shared" si="69"/>
        <v>0.5445830960449596</v>
      </c>
      <c r="BI26" s="2">
        <f t="shared" si="69"/>
        <v>0.012518203403298742</v>
      </c>
      <c r="BJ26" s="2">
        <f t="shared" si="69"/>
        <v>0.1529659513816791</v>
      </c>
      <c r="BK26" s="2">
        <f t="shared" si="69"/>
        <v>0.0743225416312054</v>
      </c>
      <c r="BL26" s="2">
        <f t="shared" si="69"/>
        <v>0.001513484347124555</v>
      </c>
      <c r="BM26" s="2">
        <f t="shared" si="70"/>
        <v>0.0514608001928965</v>
      </c>
      <c r="BN26" s="2">
        <f t="shared" si="70"/>
        <v>0.0683183243473992</v>
      </c>
      <c r="BO26" s="2">
        <f t="shared" si="70"/>
        <v>0.06965580306291687</v>
      </c>
      <c r="BP26" s="2">
        <f t="shared" si="70"/>
        <v>0.02171566756608323</v>
      </c>
      <c r="BQ26" s="2">
        <f t="shared" si="70"/>
        <v>0.0029461280224366325</v>
      </c>
      <c r="BR26" s="2">
        <f>SUM(BH26:BQ26)</f>
        <v>0.9999999999999999</v>
      </c>
      <c r="BS26" s="2">
        <f t="shared" si="23"/>
        <v>0.8954727030625832</v>
      </c>
      <c r="BT26" s="2">
        <f t="shared" si="24"/>
        <v>0</v>
      </c>
      <c r="BU26" s="2">
        <f t="shared" si="25"/>
        <v>0.5551196547665752</v>
      </c>
      <c r="BV26" s="2">
        <f t="shared" si="26"/>
        <v>0.009324982602644399</v>
      </c>
      <c r="BW26" s="2">
        <f t="shared" si="27"/>
        <v>0</v>
      </c>
      <c r="BX26" s="2">
        <f t="shared" si="28"/>
        <v>0.004962779156327544</v>
      </c>
      <c r="BY26" s="2">
        <f t="shared" si="29"/>
        <v>0.21219686162624823</v>
      </c>
      <c r="BZ26" s="2">
        <f t="shared" si="30"/>
        <v>0.143594707970313</v>
      </c>
      <c r="CA26" s="2">
        <f t="shared" si="31"/>
        <v>0.006157112526539278</v>
      </c>
      <c r="CB26" s="2">
        <f>SUM(BS26:CA26)</f>
        <v>1.826828801711231</v>
      </c>
      <c r="CC26" s="2">
        <f t="shared" si="71"/>
        <v>0.49017877440063023</v>
      </c>
      <c r="CD26" s="2">
        <f t="shared" si="71"/>
        <v>0</v>
      </c>
      <c r="CE26" s="2">
        <f t="shared" si="71"/>
        <v>0.3038706496452116</v>
      </c>
      <c r="CF26" s="2">
        <f t="shared" si="71"/>
        <v>0.005104464410627575</v>
      </c>
      <c r="CG26" s="2">
        <f t="shared" si="71"/>
        <v>0</v>
      </c>
      <c r="CH26" s="2">
        <f t="shared" si="71"/>
        <v>0.002716608776738575</v>
      </c>
      <c r="CI26" s="2">
        <f t="shared" si="72"/>
        <v>0.11615585512308473</v>
      </c>
      <c r="CJ26" s="2">
        <f t="shared" si="72"/>
        <v>0.07860326475902102</v>
      </c>
      <c r="CK26" s="2">
        <f t="shared" si="72"/>
        <v>0.0033703828846861697</v>
      </c>
      <c r="CL26" s="2">
        <f>SUM(CC26:CK26)</f>
        <v>0.9999999999999999</v>
      </c>
      <c r="CN26" s="2">
        <f>CI26/(CI26+CJ26+CK26)</f>
        <v>0.5862622855305191</v>
      </c>
      <c r="CO26" s="2">
        <f>CJ26/(CI26+CJ26+CK26)</f>
        <v>0.3967267048135728</v>
      </c>
      <c r="CP26" s="2">
        <f>1-CN26-CO26</f>
        <v>0.017011009655908127</v>
      </c>
      <c r="CR26" s="2">
        <f>BJ26/(BJ26+BH26)</f>
        <v>0.21929060321420127</v>
      </c>
      <c r="CS26" s="2">
        <f>LN(CN26/(BH26^2*BJ26^2*BN26))</f>
        <v>7.120138574583176</v>
      </c>
      <c r="CT26" s="2">
        <f>LN((CO26*BJ26*BN26)/(BO26*BH26*CN26))</f>
        <v>-1.679712808513395</v>
      </c>
      <c r="CU26" s="2">
        <f>(CF26/CH26)/(BK26/BM26)</f>
        <v>1.301005291005291</v>
      </c>
      <c r="CV26" s="2">
        <f>BM26+BK26+BN26+BL26</f>
        <v>0.19561515051862566</v>
      </c>
      <c r="CW26" s="2">
        <f>(7/2)*LN(1-BJ26)+7*LN(1-BI26)</f>
        <v>-0.6692308646334664</v>
      </c>
      <c r="CY26" s="2">
        <f t="shared" si="44"/>
        <v>1381.7824596680525</v>
      </c>
      <c r="CZ26" s="60">
        <f t="shared" si="58"/>
        <v>1115.561253937643</v>
      </c>
      <c r="DA26" s="2">
        <f t="shared" si="59"/>
        <v>0.001</v>
      </c>
      <c r="DC26" s="2">
        <f t="shared" si="45"/>
        <v>1116.142674907171</v>
      </c>
      <c r="DD26" s="2">
        <f>BM26/40.3/(BM26/40.3+BK26/71.85)</f>
        <v>0.5524649682740979</v>
      </c>
      <c r="DE26" s="2">
        <f t="shared" si="47"/>
        <v>1.1840019211877857</v>
      </c>
      <c r="DF26" s="2">
        <f>E26</f>
        <v>0</v>
      </c>
      <c r="DG26" s="2">
        <f t="shared" si="49"/>
        <v>0.18642750874535396</v>
      </c>
      <c r="DI26" s="2">
        <f t="shared" si="60"/>
        <v>3.6298567166509557</v>
      </c>
      <c r="DJ26" s="2">
        <f t="shared" si="61"/>
        <v>-0.39295462337879816</v>
      </c>
      <c r="DK26" s="2">
        <f t="shared" si="50"/>
        <v>0.676705144787828</v>
      </c>
      <c r="DL26">
        <f t="shared" si="62"/>
        <v>-0.01034</v>
      </c>
      <c r="DM26">
        <f t="shared" si="63"/>
        <v>18.919712808513392</v>
      </c>
      <c r="DN26">
        <f t="shared" si="64"/>
        <v>-5069.114641586496</v>
      </c>
      <c r="DO26">
        <f t="shared" si="65"/>
        <v>1503.7445053998013</v>
      </c>
      <c r="DP26" s="2">
        <f t="shared" si="66"/>
        <v>1230.5945053998012</v>
      </c>
    </row>
    <row r="27" spans="1:120" ht="12.75">
      <c r="A27" s="2" t="s">
        <v>127</v>
      </c>
      <c r="B27" s="3">
        <v>128</v>
      </c>
      <c r="C27" s="25">
        <v>0.0001</v>
      </c>
      <c r="D27" s="69">
        <v>1121</v>
      </c>
      <c r="F27" s="3">
        <v>4725</v>
      </c>
      <c r="G27" s="25">
        <v>57.4</v>
      </c>
      <c r="H27" s="25">
        <v>1.74</v>
      </c>
      <c r="I27" s="25">
        <v>13.8</v>
      </c>
      <c r="J27" s="25">
        <v>9.38</v>
      </c>
      <c r="K27" s="25">
        <v>0.21</v>
      </c>
      <c r="L27" s="25">
        <v>3.99</v>
      </c>
      <c r="M27" s="25">
        <v>6.8</v>
      </c>
      <c r="N27" s="25">
        <v>3.62</v>
      </c>
      <c r="O27" s="25">
        <v>1.69</v>
      </c>
      <c r="P27" s="25">
        <v>0.06</v>
      </c>
      <c r="Q27" s="25">
        <v>0.31</v>
      </c>
      <c r="R27" s="25">
        <v>0</v>
      </c>
      <c r="S27" s="2">
        <f t="shared" si="51"/>
        <v>98.99999999999999</v>
      </c>
      <c r="U27" s="25">
        <v>54.1</v>
      </c>
      <c r="V27" s="25">
        <v>0</v>
      </c>
      <c r="W27" s="25">
        <v>28.8</v>
      </c>
      <c r="X27" s="25">
        <v>0.75</v>
      </c>
      <c r="Y27" s="25">
        <v>0</v>
      </c>
      <c r="Z27" s="25">
        <v>0.22</v>
      </c>
      <c r="AA27" s="25">
        <v>11.9</v>
      </c>
      <c r="AB27" s="25">
        <v>4.34</v>
      </c>
      <c r="AC27" s="25">
        <v>0.25</v>
      </c>
      <c r="AD27" s="25">
        <v>0</v>
      </c>
      <c r="AF27" s="55">
        <f t="shared" si="52"/>
        <v>1111.0462400792235</v>
      </c>
      <c r="AG27" s="55">
        <f t="shared" si="0"/>
        <v>1101.271426391258</v>
      </c>
      <c r="AH27" s="55">
        <f t="shared" si="1"/>
        <v>1118.5855444228764</v>
      </c>
      <c r="AI27" s="55">
        <f t="shared" si="67"/>
        <v>0.1392029567926043</v>
      </c>
      <c r="AJ27" s="55">
        <f t="shared" si="2"/>
        <v>2.4892732180329693</v>
      </c>
      <c r="AK27" s="55">
        <f t="shared" si="53"/>
        <v>0.6226968740136067</v>
      </c>
      <c r="AL27" s="55">
        <f t="shared" si="3"/>
        <v>1121.1489975218628</v>
      </c>
      <c r="AM27" s="56">
        <f t="shared" si="4"/>
        <v>0.5194929590655014</v>
      </c>
      <c r="AN27" s="56">
        <f t="shared" si="5"/>
        <v>0.4813637455570155</v>
      </c>
      <c r="AO27" s="56">
        <f t="shared" si="6"/>
        <v>9.263701329018341E-05</v>
      </c>
      <c r="AP27" s="56">
        <f t="shared" si="7"/>
        <v>1.000949341635807</v>
      </c>
      <c r="AQ27" s="56">
        <f t="shared" si="54"/>
        <v>0.19410664231113495</v>
      </c>
      <c r="AR27" s="3">
        <f t="shared" si="55"/>
        <v>1.4596774193548385</v>
      </c>
      <c r="AS27" s="55">
        <f t="shared" si="8"/>
        <v>-88.4076564766867</v>
      </c>
      <c r="AT27" s="55">
        <f t="shared" si="9"/>
        <v>-106.71174795669572</v>
      </c>
      <c r="AU27" s="54">
        <f t="shared" si="56"/>
        <v>1.4596774193548385</v>
      </c>
      <c r="AV27" s="4">
        <f t="shared" si="57"/>
        <v>0.5093323949054192</v>
      </c>
      <c r="AW27" s="2">
        <f t="shared" si="10"/>
        <v>0.9553928095872171</v>
      </c>
      <c r="AX27" s="2">
        <f t="shared" si="11"/>
        <v>0.021777221526908634</v>
      </c>
      <c r="AY27" s="2">
        <f t="shared" si="12"/>
        <v>0.27069438995684586</v>
      </c>
      <c r="AZ27" s="2">
        <f t="shared" si="13"/>
        <v>0.1305497564370216</v>
      </c>
      <c r="BA27" s="2">
        <f t="shared" si="14"/>
        <v>0.002960248096983366</v>
      </c>
      <c r="BB27" s="2">
        <f t="shared" si="15"/>
        <v>0.0990074441687345</v>
      </c>
      <c r="BC27" s="2">
        <f t="shared" si="16"/>
        <v>0.12125534950071326</v>
      </c>
      <c r="BD27" s="2">
        <f t="shared" si="17"/>
        <v>0.11681187479832204</v>
      </c>
      <c r="BE27" s="2">
        <f t="shared" si="18"/>
        <v>0.035881104033970275</v>
      </c>
      <c r="BF27" s="2">
        <f t="shared" si="19"/>
        <v>0.0043681351585562606</v>
      </c>
      <c r="BG27" s="2">
        <f>SUM(AW27:BF27)</f>
        <v>1.7586983332652728</v>
      </c>
      <c r="BH27" s="2">
        <f t="shared" si="69"/>
        <v>0.5432385938601505</v>
      </c>
      <c r="BI27" s="2">
        <f t="shared" si="69"/>
        <v>0.012382579271839153</v>
      </c>
      <c r="BJ27" s="2">
        <f t="shared" si="69"/>
        <v>0.15391746545541063</v>
      </c>
      <c r="BK27" s="2">
        <f t="shared" si="69"/>
        <v>0.07423089791336611</v>
      </c>
      <c r="BL27" s="2">
        <f t="shared" si="69"/>
        <v>0.0016832040157149896</v>
      </c>
      <c r="BM27" s="2">
        <f t="shared" si="70"/>
        <v>0.056295865127087</v>
      </c>
      <c r="BN27" s="2">
        <f t="shared" si="70"/>
        <v>0.06894607631519473</v>
      </c>
      <c r="BO27" s="2">
        <f t="shared" si="70"/>
        <v>0.06641950617047793</v>
      </c>
      <c r="BP27" s="2">
        <f t="shared" si="70"/>
        <v>0.020402079967490456</v>
      </c>
      <c r="BQ27" s="2">
        <f t="shared" si="70"/>
        <v>0.0024837319032685943</v>
      </c>
      <c r="BR27" s="2">
        <f>SUM(BH27:BQ27)</f>
        <v>1.0000000000000002</v>
      </c>
      <c r="BS27" s="2">
        <f t="shared" si="23"/>
        <v>0.9004660452729695</v>
      </c>
      <c r="BT27" s="2">
        <f t="shared" si="24"/>
        <v>0</v>
      </c>
      <c r="BU27" s="2">
        <f t="shared" si="25"/>
        <v>0.5649274225186348</v>
      </c>
      <c r="BV27" s="2">
        <f t="shared" si="26"/>
        <v>0.010438413361169104</v>
      </c>
      <c r="BW27" s="2">
        <f t="shared" si="27"/>
        <v>0</v>
      </c>
      <c r="BX27" s="2">
        <f t="shared" si="28"/>
        <v>0.005459057071960298</v>
      </c>
      <c r="BY27" s="2">
        <f t="shared" si="29"/>
        <v>0.21219686162624823</v>
      </c>
      <c r="BZ27" s="2">
        <f t="shared" si="30"/>
        <v>0.1400451758631817</v>
      </c>
      <c r="CA27" s="2">
        <f t="shared" si="31"/>
        <v>0.005307855626326964</v>
      </c>
      <c r="CB27" s="2">
        <f>SUM(BS27:CA27)</f>
        <v>1.8388408313404907</v>
      </c>
      <c r="CC27" s="2">
        <f t="shared" si="71"/>
        <v>0.48969221801353063</v>
      </c>
      <c r="CD27" s="2">
        <f t="shared" si="71"/>
        <v>0</v>
      </c>
      <c r="CE27" s="2">
        <f t="shared" si="71"/>
        <v>0.30721931604423325</v>
      </c>
      <c r="CF27" s="2">
        <f t="shared" si="71"/>
        <v>0.0056766269180349</v>
      </c>
      <c r="CG27" s="2">
        <f t="shared" si="71"/>
        <v>0</v>
      </c>
      <c r="CH27" s="2">
        <f t="shared" si="71"/>
        <v>0.0029687491048263908</v>
      </c>
      <c r="CI27" s="2">
        <f t="shared" si="72"/>
        <v>0.11539707951316239</v>
      </c>
      <c r="CJ27" s="2">
        <f t="shared" si="72"/>
        <v>0.07615948780139421</v>
      </c>
      <c r="CK27" s="2">
        <f t="shared" si="72"/>
        <v>0.0028865226048181707</v>
      </c>
      <c r="CL27" s="2">
        <f>SUM(CC27:CK27)</f>
        <v>1</v>
      </c>
      <c r="CN27" s="2">
        <f>CI27/(CI27+CJ27+CK27)</f>
        <v>0.5934748288612952</v>
      </c>
      <c r="CO27" s="2">
        <f>CJ27/(CI27+CJ27+CK27)</f>
        <v>0.39168009432977796</v>
      </c>
      <c r="CP27" s="2">
        <f>1-CN27-CO27</f>
        <v>0.014845076808926827</v>
      </c>
      <c r="CR27" s="2">
        <f>BJ27/(BJ27+BH27)</f>
        <v>0.22077906861559865</v>
      </c>
      <c r="CS27" s="2">
        <f>LN(CN27/(BH27^2*BJ27^2*BN27))</f>
        <v>7.115760935445396</v>
      </c>
      <c r="CT27" s="2">
        <f>LN((CO27*BJ27*BN27)/(BO27*BH27*CN27))</f>
        <v>-1.6393475683152403</v>
      </c>
      <c r="CU27" s="2">
        <f>(CF27/CH27)/(BK27/BM27)</f>
        <v>1.4501356852103122</v>
      </c>
      <c r="CV27" s="2">
        <f>BM27+BK27+BN27+BL27</f>
        <v>0.2011560433713628</v>
      </c>
      <c r="CW27" s="2">
        <f>(7/2)*LN(1-BJ27)+7*LN(1-BI27)</f>
        <v>-0.6722034549636089</v>
      </c>
      <c r="CY27" s="2">
        <f t="shared" si="44"/>
        <v>1384.1962400792236</v>
      </c>
      <c r="CZ27" s="60">
        <f t="shared" si="58"/>
        <v>1118.5855444228764</v>
      </c>
      <c r="DA27" s="2">
        <f t="shared" si="59"/>
        <v>0.001</v>
      </c>
      <c r="DC27" s="2">
        <f t="shared" si="45"/>
        <v>1119.257219213223</v>
      </c>
      <c r="DD27" s="2">
        <f>BM27/40.3/(BM27/40.3+BK27/71.85)</f>
        <v>0.5748506514805682</v>
      </c>
      <c r="DE27" s="2">
        <f t="shared" si="47"/>
        <v>1.1652014181652453</v>
      </c>
      <c r="DF27" s="2">
        <f>E27</f>
        <v>0</v>
      </c>
      <c r="DG27" s="2">
        <f t="shared" si="49"/>
        <v>0.19410664231113495</v>
      </c>
      <c r="DI27" s="2">
        <f t="shared" si="60"/>
        <v>3.4000773699700475</v>
      </c>
      <c r="DJ27" s="2">
        <f t="shared" si="61"/>
        <v>-0.38679455826002307</v>
      </c>
      <c r="DK27" s="2">
        <f t="shared" si="50"/>
        <v>0.6599776018829604</v>
      </c>
      <c r="DL27">
        <f t="shared" si="62"/>
        <v>-0.01034</v>
      </c>
      <c r="DM27">
        <f t="shared" si="63"/>
        <v>18.87934756831524</v>
      </c>
      <c r="DN27">
        <f t="shared" si="64"/>
        <v>-4989.6498015542975</v>
      </c>
      <c r="DO27">
        <f t="shared" si="65"/>
        <v>1505.278419848906</v>
      </c>
      <c r="DP27" s="2">
        <f t="shared" si="66"/>
        <v>1232.128419848906</v>
      </c>
    </row>
    <row r="28" spans="1:120" ht="12.75">
      <c r="A28" s="2" t="s">
        <v>126</v>
      </c>
      <c r="B28" s="3" t="s">
        <v>100</v>
      </c>
      <c r="C28" s="70">
        <v>0.68</v>
      </c>
      <c r="D28" s="69">
        <v>1160</v>
      </c>
      <c r="F28" s="3" t="s">
        <v>100</v>
      </c>
      <c r="G28" s="25">
        <v>45.38</v>
      </c>
      <c r="H28" s="25">
        <v>3.24</v>
      </c>
      <c r="I28" s="25">
        <v>14.03</v>
      </c>
      <c r="J28" s="25">
        <v>13.85</v>
      </c>
      <c r="K28" s="25">
        <v>0.22</v>
      </c>
      <c r="L28" s="25">
        <v>5.35</v>
      </c>
      <c r="M28" s="25">
        <v>9.48</v>
      </c>
      <c r="N28" s="25">
        <v>3.2</v>
      </c>
      <c r="O28" s="25">
        <v>1.07</v>
      </c>
      <c r="P28" s="25"/>
      <c r="Q28" s="25">
        <v>0.59</v>
      </c>
      <c r="R28" s="25">
        <v>0.17</v>
      </c>
      <c r="S28" s="2">
        <f t="shared" si="51"/>
        <v>96.41</v>
      </c>
      <c r="U28" s="25">
        <v>51.98</v>
      </c>
      <c r="V28" s="25">
        <v>0.12</v>
      </c>
      <c r="W28" s="25">
        <v>29.3</v>
      </c>
      <c r="X28" s="25">
        <v>0.61</v>
      </c>
      <c r="Y28" s="25">
        <v>0.01</v>
      </c>
      <c r="Z28" s="25">
        <v>0.21</v>
      </c>
      <c r="AA28" s="25">
        <v>12.84</v>
      </c>
      <c r="AB28" s="25">
        <v>4.03</v>
      </c>
      <c r="AC28" s="25">
        <v>0.3</v>
      </c>
      <c r="AD28" s="25"/>
      <c r="AF28" s="55">
        <f t="shared" si="52"/>
        <v>1193.3727836525977</v>
      </c>
      <c r="AG28" s="55">
        <f t="shared" si="0"/>
        <v>1187.0540961440674</v>
      </c>
      <c r="AH28" s="55">
        <f t="shared" si="1"/>
        <v>1182.7517730660634</v>
      </c>
      <c r="AI28" s="55">
        <f t="shared" si="67"/>
        <v>-1.1242846730153206</v>
      </c>
      <c r="AJ28" s="55">
        <f t="shared" si="2"/>
        <v>1.9933440686129438</v>
      </c>
      <c r="AK28" s="55">
        <f t="shared" si="53"/>
        <v>7.463208884790369</v>
      </c>
      <c r="AL28" s="55">
        <f t="shared" si="3"/>
        <v>1169.4533618403366</v>
      </c>
      <c r="AM28" s="56">
        <f t="shared" si="4"/>
        <v>0.6529963040894359</v>
      </c>
      <c r="AN28" s="56">
        <f t="shared" si="5"/>
        <v>0.3595662642983127</v>
      </c>
      <c r="AO28" s="56">
        <f t="shared" si="6"/>
        <v>7.376333622446287E-05</v>
      </c>
      <c r="AP28" s="56">
        <f t="shared" si="7"/>
        <v>1.012636331723973</v>
      </c>
      <c r="AQ28" s="56">
        <f t="shared" si="54"/>
        <v>0.3387830345515965</v>
      </c>
      <c r="AR28" s="3">
        <f t="shared" si="55"/>
        <v>1.0754782171687027</v>
      </c>
      <c r="AS28" s="55">
        <f t="shared" si="8"/>
        <v>-184.888534635023</v>
      </c>
      <c r="AT28" s="55">
        <f t="shared" si="9"/>
        <v>-192.91943646350057</v>
      </c>
      <c r="AU28" s="54">
        <f t="shared" si="56"/>
        <v>1.0754782171687027</v>
      </c>
      <c r="AV28" s="4">
        <f t="shared" si="57"/>
        <v>0.6207937939469345</v>
      </c>
      <c r="AW28" s="2">
        <f t="shared" si="10"/>
        <v>0.7553262316910786</v>
      </c>
      <c r="AX28" s="2">
        <f t="shared" si="11"/>
        <v>0.04055068836045056</v>
      </c>
      <c r="AY28" s="2">
        <f t="shared" si="12"/>
        <v>0.2752059631227933</v>
      </c>
      <c r="AZ28" s="2">
        <f t="shared" si="13"/>
        <v>0.19276270006958943</v>
      </c>
      <c r="BA28" s="2">
        <f t="shared" si="14"/>
        <v>0.0031012122920778123</v>
      </c>
      <c r="BB28" s="2">
        <f t="shared" si="15"/>
        <v>0.1327543424317618</v>
      </c>
      <c r="BC28" s="2">
        <f t="shared" si="16"/>
        <v>0.16904422253922968</v>
      </c>
      <c r="BD28" s="2">
        <f t="shared" si="17"/>
        <v>0.1032591158438206</v>
      </c>
      <c r="BE28" s="2">
        <f t="shared" si="18"/>
        <v>0.022717622080679407</v>
      </c>
      <c r="BF28" s="2">
        <f t="shared" si="19"/>
        <v>0.008313547559832882</v>
      </c>
      <c r="BG28" s="2">
        <f aca="true" t="shared" si="73" ref="BG28:BG43">SUM(AW28:BF28)</f>
        <v>1.703035645991314</v>
      </c>
      <c r="BH28" s="2">
        <f aca="true" t="shared" si="74" ref="BH28:BL39">AW28/$BG28</f>
        <v>0.44351757020999605</v>
      </c>
      <c r="BI28" s="2">
        <f t="shared" si="74"/>
        <v>0.023810827715732605</v>
      </c>
      <c r="BJ28" s="2">
        <f t="shared" si="74"/>
        <v>0.16159730054422883</v>
      </c>
      <c r="BK28" s="2">
        <f t="shared" si="74"/>
        <v>0.11318770721172125</v>
      </c>
      <c r="BL28" s="2">
        <f t="shared" si="74"/>
        <v>0.0018209908285699084</v>
      </c>
      <c r="BM28" s="2">
        <f aca="true" t="shared" si="75" ref="BM28:BQ39">BB28/$BG28</f>
        <v>0.07795159352315686</v>
      </c>
      <c r="BN28" s="2">
        <f t="shared" si="75"/>
        <v>0.09926053100364281</v>
      </c>
      <c r="BO28" s="2">
        <f t="shared" si="75"/>
        <v>0.06063238669541462</v>
      </c>
      <c r="BP28" s="2">
        <f t="shared" si="75"/>
        <v>0.013339487129440433</v>
      </c>
      <c r="BQ28" s="2">
        <f t="shared" si="75"/>
        <v>0.004881605138096613</v>
      </c>
      <c r="BR28" s="2">
        <f aca="true" t="shared" si="76" ref="BR28:BR43">SUM(BH28:BQ28)</f>
        <v>1</v>
      </c>
      <c r="BS28" s="2">
        <f t="shared" si="23"/>
        <v>0.8651797603195739</v>
      </c>
      <c r="BT28" s="2">
        <f t="shared" si="24"/>
        <v>0.001501877346683354</v>
      </c>
      <c r="BU28" s="2">
        <f t="shared" si="25"/>
        <v>0.5747351902706944</v>
      </c>
      <c r="BV28" s="2">
        <f t="shared" si="26"/>
        <v>0.00848990953375087</v>
      </c>
      <c r="BW28" s="2">
        <f t="shared" si="27"/>
        <v>0.000140964195094446</v>
      </c>
      <c r="BX28" s="2">
        <f t="shared" si="28"/>
        <v>0.005210918114143921</v>
      </c>
      <c r="BY28" s="2">
        <f t="shared" si="29"/>
        <v>0.2289586305278174</v>
      </c>
      <c r="BZ28" s="2">
        <f t="shared" si="30"/>
        <v>0.13004194901581156</v>
      </c>
      <c r="CA28" s="2">
        <f t="shared" si="31"/>
        <v>0.006369426751592356</v>
      </c>
      <c r="CB28" s="2">
        <f aca="true" t="shared" si="77" ref="CB28:CB43">SUM(BS28:CA28)</f>
        <v>1.8206286260751623</v>
      </c>
      <c r="CC28" s="2">
        <f aca="true" t="shared" si="78" ref="CC28:CH30">BS28/$CB28</f>
        <v>0.4752093578714587</v>
      </c>
      <c r="CD28" s="2">
        <f t="shared" si="78"/>
        <v>0.0008249224060159049</v>
      </c>
      <c r="CE28" s="2">
        <f t="shared" si="78"/>
        <v>0.3156795307067567</v>
      </c>
      <c r="CF28" s="2">
        <f t="shared" si="78"/>
        <v>0.004663174802459893</v>
      </c>
      <c r="CG28" s="2">
        <f t="shared" si="78"/>
        <v>7.742611155045438E-05</v>
      </c>
      <c r="CH28" s="2">
        <f t="shared" si="78"/>
        <v>0.0028621532362574174</v>
      </c>
      <c r="CI28" s="2">
        <f aca="true" t="shared" si="79" ref="CI28:CK34">BY28/$CB28</f>
        <v>0.1257580086617649</v>
      </c>
      <c r="CJ28" s="2">
        <f t="shared" si="79"/>
        <v>0.07142694954552635</v>
      </c>
      <c r="CK28" s="2">
        <f t="shared" si="79"/>
        <v>0.003498476658209703</v>
      </c>
      <c r="CL28" s="2">
        <f aca="true" t="shared" si="80" ref="CL28:CL43">SUM(CC28:CK28)</f>
        <v>0.9999999999999999</v>
      </c>
      <c r="CN28" s="2">
        <f aca="true" t="shared" si="81" ref="CN28:CN43">CI28/(CI28+CJ28+CK28)</f>
        <v>0.6266486755423961</v>
      </c>
      <c r="CO28" s="2">
        <f aca="true" t="shared" si="82" ref="CO28:CO43">CJ28/(CI28+CJ28+CK28)</f>
        <v>0.3559185121253134</v>
      </c>
      <c r="CP28" s="2">
        <f aca="true" t="shared" si="83" ref="CP28:CP43">1-CN28-CO28</f>
        <v>0.017432812332290493</v>
      </c>
      <c r="CR28" s="2">
        <f aca="true" t="shared" si="84" ref="CR28:CR43">BJ28/(BJ28+BH28)</f>
        <v>0.2670522711544196</v>
      </c>
      <c r="CS28" s="2">
        <f aca="true" t="shared" si="85" ref="CS28:CS43">LN(CN28/(BH28^2*BJ28^2*BN28))</f>
        <v>7.113969434626266</v>
      </c>
      <c r="CT28" s="2">
        <f aca="true" t="shared" si="86" ref="CT28:CT43">LN((CO28*BJ28*BN28)/(BO28*BH28*CN28))</f>
        <v>-1.0823953925713898</v>
      </c>
      <c r="CU28" s="2">
        <f aca="true" t="shared" si="87" ref="CU28:CU43">(CF28/CH28)/(BK28/BM28)</f>
        <v>1.1220560426336599</v>
      </c>
      <c r="CV28" s="2">
        <f aca="true" t="shared" si="88" ref="CV28:CV43">BM28+BK28+BN28+BL28</f>
        <v>0.2922208225670908</v>
      </c>
      <c r="CW28" s="2">
        <f aca="true" t="shared" si="89" ref="CW28:CW43">(7/2)*LN(1-BJ28)+7*LN(1-BI28)</f>
        <v>-0.7855908207956446</v>
      </c>
      <c r="CY28" s="2">
        <f t="shared" si="44"/>
        <v>1466.5227836525978</v>
      </c>
      <c r="CZ28" s="60">
        <f t="shared" si="58"/>
        <v>1182.7517730660634</v>
      </c>
      <c r="DA28" s="2">
        <f t="shared" si="59"/>
        <v>6.800000000000001</v>
      </c>
      <c r="DC28" s="2">
        <f t="shared" si="45"/>
        <v>1180.35135043344</v>
      </c>
      <c r="DD28" s="2">
        <f aca="true" t="shared" si="90" ref="DD28:DD43">BM28/40.3/(BM28/40.3+BK28/71.85)</f>
        <v>0.5511379690123135</v>
      </c>
      <c r="DE28" s="2">
        <f aca="true" t="shared" si="91" ref="DE28:DE43">CN28/(BN28/(BN28+BO28))</f>
        <v>1.0094312824202656</v>
      </c>
      <c r="DF28" s="2">
        <f aca="true" t="shared" si="92" ref="DF28:DF43">E28</f>
        <v>0</v>
      </c>
      <c r="DG28" s="2">
        <f aca="true" t="shared" si="93" ref="DG28:DG43">CO28*BJ28*BN28/(BO28*BH28*CN28)</f>
        <v>0.3387830345515964</v>
      </c>
      <c r="DI28" s="2">
        <f t="shared" si="60"/>
        <v>1.6765047851916546</v>
      </c>
      <c r="DJ28" s="2">
        <f t="shared" si="61"/>
        <v>-0.24329212535753905</v>
      </c>
      <c r="DK28" s="2">
        <f t="shared" si="50"/>
        <v>0.567971378567501</v>
      </c>
      <c r="DL28">
        <f t="shared" si="62"/>
        <v>-0.01034</v>
      </c>
      <c r="DM28">
        <f t="shared" si="63"/>
        <v>18.322395392571387</v>
      </c>
      <c r="DN28">
        <f t="shared" si="64"/>
        <v>-3138.468417112254</v>
      </c>
      <c r="DO28">
        <f t="shared" si="65"/>
        <v>1579.8704104029543</v>
      </c>
      <c r="DP28" s="2">
        <f t="shared" si="66"/>
        <v>1306.7204104029543</v>
      </c>
    </row>
    <row r="29" spans="1:120" ht="12.75">
      <c r="A29" s="2" t="s">
        <v>126</v>
      </c>
      <c r="B29" s="3" t="s">
        <v>101</v>
      </c>
      <c r="C29" s="70">
        <v>0.68</v>
      </c>
      <c r="D29" s="69">
        <v>1140</v>
      </c>
      <c r="F29" s="3" t="s">
        <v>101</v>
      </c>
      <c r="G29" s="25">
        <v>44.48</v>
      </c>
      <c r="H29" s="25">
        <v>5.66</v>
      </c>
      <c r="I29" s="25">
        <v>12.9</v>
      </c>
      <c r="J29" s="25">
        <v>14.96</v>
      </c>
      <c r="K29" s="25">
        <v>0.26</v>
      </c>
      <c r="L29" s="25">
        <v>4.95</v>
      </c>
      <c r="M29" s="25">
        <v>9.11</v>
      </c>
      <c r="N29" s="25">
        <v>2.82</v>
      </c>
      <c r="O29" s="25">
        <v>1.56</v>
      </c>
      <c r="P29" s="25"/>
      <c r="Q29" s="25">
        <v>1.19</v>
      </c>
      <c r="R29" s="25">
        <v>0.37</v>
      </c>
      <c r="S29" s="2">
        <f t="shared" si="51"/>
        <v>97.89</v>
      </c>
      <c r="U29" s="25">
        <v>52.89</v>
      </c>
      <c r="V29" s="25">
        <v>0.13</v>
      </c>
      <c r="W29" s="25">
        <v>28.38</v>
      </c>
      <c r="X29" s="25">
        <v>1.19</v>
      </c>
      <c r="Y29" s="25">
        <v>0.03</v>
      </c>
      <c r="Z29" s="25">
        <v>0.83</v>
      </c>
      <c r="AA29" s="25">
        <v>12</v>
      </c>
      <c r="AB29" s="25">
        <v>4.04</v>
      </c>
      <c r="AC29" s="25">
        <v>0.45</v>
      </c>
      <c r="AD29" s="25"/>
      <c r="AF29" s="55">
        <f t="shared" si="52"/>
        <v>1159.9563398597502</v>
      </c>
      <c r="AG29" s="55">
        <f t="shared" si="0"/>
        <v>1152.5978244257585</v>
      </c>
      <c r="AH29" s="55">
        <f t="shared" si="1"/>
        <v>1151.715241806868</v>
      </c>
      <c r="AI29" s="55">
        <f t="shared" si="67"/>
        <v>-1.390686787384924</v>
      </c>
      <c r="AJ29" s="55">
        <f t="shared" si="2"/>
        <v>1.4784829982693595</v>
      </c>
      <c r="AK29" s="55">
        <f t="shared" si="53"/>
        <v>6.906960675662145</v>
      </c>
      <c r="AL29" s="55">
        <f t="shared" si="3"/>
        <v>1133.5733550708455</v>
      </c>
      <c r="AM29" s="56">
        <f t="shared" si="4"/>
        <v>0.6338219027526496</v>
      </c>
      <c r="AN29" s="56">
        <f t="shared" si="5"/>
        <v>0.41594274632375783</v>
      </c>
      <c r="AO29" s="56">
        <f t="shared" si="6"/>
        <v>2.195814547206178E-05</v>
      </c>
      <c r="AP29" s="56">
        <f t="shared" si="7"/>
        <v>1.0497866072218796</v>
      </c>
      <c r="AQ29" s="56">
        <f t="shared" si="54"/>
        <v>0.3717272615219178</v>
      </c>
      <c r="AR29" s="3">
        <f t="shared" si="55"/>
        <v>0.9194552825205682</v>
      </c>
      <c r="AS29" s="55">
        <f t="shared" si="8"/>
        <v>-176.86155563794983</v>
      </c>
      <c r="AT29" s="55">
        <f t="shared" si="9"/>
        <v>-188.27309522869405</v>
      </c>
      <c r="AU29" s="54">
        <f t="shared" si="56"/>
        <v>0.9194552825205681</v>
      </c>
      <c r="AV29" s="4">
        <f t="shared" si="57"/>
        <v>0.6409572167564015</v>
      </c>
      <c r="AW29" s="2">
        <f t="shared" si="10"/>
        <v>0.7403462050599201</v>
      </c>
      <c r="AX29" s="2">
        <f t="shared" si="11"/>
        <v>0.07083854818523154</v>
      </c>
      <c r="AY29" s="2">
        <f t="shared" si="12"/>
        <v>0.2530404080031385</v>
      </c>
      <c r="AZ29" s="2">
        <f t="shared" si="13"/>
        <v>0.2082115518441197</v>
      </c>
      <c r="BA29" s="2">
        <f t="shared" si="14"/>
        <v>0.0036650690724555966</v>
      </c>
      <c r="BB29" s="2">
        <f t="shared" si="15"/>
        <v>0.12282878411910671</v>
      </c>
      <c r="BC29" s="2">
        <f t="shared" si="16"/>
        <v>0.16244650499286734</v>
      </c>
      <c r="BD29" s="2">
        <f t="shared" si="17"/>
        <v>0.0909970958373669</v>
      </c>
      <c r="BE29" s="2">
        <f t="shared" si="18"/>
        <v>0.033121019108280254</v>
      </c>
      <c r="BF29" s="2">
        <f t="shared" si="19"/>
        <v>0.016768002705425646</v>
      </c>
      <c r="BG29" s="2">
        <f t="shared" si="73"/>
        <v>1.702263188927912</v>
      </c>
      <c r="BH29" s="2">
        <f t="shared" si="74"/>
        <v>0.4349187657204708</v>
      </c>
      <c r="BI29" s="2">
        <f t="shared" si="74"/>
        <v>0.04161433358013561</v>
      </c>
      <c r="BJ29" s="2">
        <f t="shared" si="74"/>
        <v>0.1486494037167682</v>
      </c>
      <c r="BK29" s="2">
        <f t="shared" si="74"/>
        <v>0.1223145475966332</v>
      </c>
      <c r="BL29" s="2">
        <f t="shared" si="74"/>
        <v>0.0021530566461722424</v>
      </c>
      <c r="BM29" s="2">
        <f t="shared" si="75"/>
        <v>0.072156165343894</v>
      </c>
      <c r="BN29" s="2">
        <f t="shared" si="75"/>
        <v>0.09542972323520453</v>
      </c>
      <c r="BO29" s="2">
        <f t="shared" si="75"/>
        <v>0.05345653740810609</v>
      </c>
      <c r="BP29" s="2">
        <f t="shared" si="75"/>
        <v>0.019457049487829153</v>
      </c>
      <c r="BQ29" s="2">
        <f t="shared" si="75"/>
        <v>0.009850417264786275</v>
      </c>
      <c r="BR29" s="2">
        <f t="shared" si="76"/>
        <v>1</v>
      </c>
      <c r="BS29" s="2">
        <f t="shared" si="23"/>
        <v>0.8803262316910786</v>
      </c>
      <c r="BT29" s="2">
        <f t="shared" si="24"/>
        <v>0.0016270337922403002</v>
      </c>
      <c r="BU29" s="2">
        <f t="shared" si="25"/>
        <v>0.5566888976069047</v>
      </c>
      <c r="BV29" s="2">
        <f t="shared" si="26"/>
        <v>0.016562282533054976</v>
      </c>
      <c r="BW29" s="2">
        <f t="shared" si="27"/>
        <v>0.00042289258528333803</v>
      </c>
      <c r="BX29" s="2">
        <f t="shared" si="28"/>
        <v>0.020595533498759307</v>
      </c>
      <c r="BY29" s="2">
        <f t="shared" si="29"/>
        <v>0.21398002853067047</v>
      </c>
      <c r="BZ29" s="2">
        <f t="shared" si="30"/>
        <v>0.1303646337528235</v>
      </c>
      <c r="CA29" s="2">
        <f t="shared" si="31"/>
        <v>0.009554140127388535</v>
      </c>
      <c r="CB29" s="2">
        <f t="shared" si="77"/>
        <v>1.8301216741182038</v>
      </c>
      <c r="CC29" s="2">
        <f t="shared" si="78"/>
        <v>0.481020603242263</v>
      </c>
      <c r="CD29" s="2">
        <f t="shared" si="78"/>
        <v>0.0008890303935798388</v>
      </c>
      <c r="CE29" s="2">
        <f t="shared" si="78"/>
        <v>0.3041813588023488</v>
      </c>
      <c r="CF29" s="2">
        <f t="shared" si="78"/>
        <v>0.009049825903534571</v>
      </c>
      <c r="CG29" s="2">
        <f t="shared" si="78"/>
        <v>0.00023107348066739756</v>
      </c>
      <c r="CH29" s="2">
        <f t="shared" si="78"/>
        <v>0.011253641651275851</v>
      </c>
      <c r="CI29" s="2">
        <f t="shared" si="79"/>
        <v>0.11692120341330373</v>
      </c>
      <c r="CJ29" s="2">
        <f t="shared" si="79"/>
        <v>0.07123276861667478</v>
      </c>
      <c r="CK29" s="2">
        <f t="shared" si="79"/>
        <v>0.005220494496351969</v>
      </c>
      <c r="CL29" s="2">
        <f t="shared" si="80"/>
        <v>0.9999999999999999</v>
      </c>
      <c r="CN29" s="2">
        <f t="shared" si="81"/>
        <v>0.6046362041153109</v>
      </c>
      <c r="CO29" s="2">
        <f t="shared" si="82"/>
        <v>0.36836698193024103</v>
      </c>
      <c r="CP29" s="2">
        <f t="shared" si="83"/>
        <v>0.02699681395444803</v>
      </c>
      <c r="CR29" s="2">
        <f t="shared" si="84"/>
        <v>0.2547250030105609</v>
      </c>
      <c r="CS29" s="2">
        <f t="shared" si="85"/>
        <v>7.323758370762346</v>
      </c>
      <c r="CT29" s="2">
        <f t="shared" si="86"/>
        <v>-0.9895948615598873</v>
      </c>
      <c r="CU29" s="2">
        <f t="shared" si="87"/>
        <v>0.47439759036144574</v>
      </c>
      <c r="CV29" s="2">
        <f t="shared" si="88"/>
        <v>0.292053492821904</v>
      </c>
      <c r="CW29" s="2">
        <f t="shared" si="89"/>
        <v>-0.8607944403161835</v>
      </c>
      <c r="CY29" s="2">
        <f t="shared" si="44"/>
        <v>1433.1063398597503</v>
      </c>
      <c r="CZ29" s="60">
        <f t="shared" si="58"/>
        <v>1151.715241806868</v>
      </c>
      <c r="DA29" s="2">
        <f t="shared" si="59"/>
        <v>6.800000000000001</v>
      </c>
      <c r="DC29" s="2">
        <f t="shared" si="45"/>
        <v>1146.9580322161733</v>
      </c>
      <c r="DD29" s="2">
        <f t="shared" si="90"/>
        <v>0.5126137958339675</v>
      </c>
      <c r="DE29" s="2">
        <f t="shared" si="91"/>
        <v>0.9433331715572296</v>
      </c>
      <c r="DF29" s="2">
        <f t="shared" si="92"/>
        <v>0</v>
      </c>
      <c r="DG29" s="2">
        <f t="shared" si="93"/>
        <v>0.3717272615219178</v>
      </c>
      <c r="DI29" s="2">
        <f t="shared" si="60"/>
        <v>1.6389365308063097</v>
      </c>
      <c r="DJ29" s="2">
        <f t="shared" si="61"/>
        <v>-0.2442961761766041</v>
      </c>
      <c r="DK29" s="2">
        <f t="shared" si="50"/>
        <v>0.6092373884048619</v>
      </c>
      <c r="DL29">
        <f t="shared" si="62"/>
        <v>-0.01034</v>
      </c>
      <c r="DM29">
        <f t="shared" si="63"/>
        <v>18.229594861559885</v>
      </c>
      <c r="DN29">
        <f t="shared" si="64"/>
        <v>-3151.4206726781927</v>
      </c>
      <c r="DO29">
        <f t="shared" si="65"/>
        <v>1568.7330150433384</v>
      </c>
      <c r="DP29" s="2">
        <f t="shared" si="66"/>
        <v>1295.5830150433385</v>
      </c>
    </row>
    <row r="30" spans="1:120" ht="12.75">
      <c r="A30" s="2" t="s">
        <v>126</v>
      </c>
      <c r="B30" s="3" t="s">
        <v>102</v>
      </c>
      <c r="C30" s="70">
        <v>0.43</v>
      </c>
      <c r="D30" s="69">
        <v>1200</v>
      </c>
      <c r="F30" s="3" t="s">
        <v>102</v>
      </c>
      <c r="G30" s="25">
        <v>47.7</v>
      </c>
      <c r="H30" s="25">
        <v>1.73</v>
      </c>
      <c r="I30" s="25">
        <v>15.88</v>
      </c>
      <c r="J30" s="25">
        <v>10.17</v>
      </c>
      <c r="K30" s="25">
        <v>0.19</v>
      </c>
      <c r="L30" s="25">
        <v>7</v>
      </c>
      <c r="M30" s="25">
        <v>11.48</v>
      </c>
      <c r="N30" s="25">
        <v>2.54</v>
      </c>
      <c r="O30" s="25">
        <v>0.52</v>
      </c>
      <c r="P30" s="25"/>
      <c r="Q30" s="25">
        <v>0.27</v>
      </c>
      <c r="R30" s="25">
        <v>0.08</v>
      </c>
      <c r="S30" s="2">
        <f t="shared" si="51"/>
        <v>97.48</v>
      </c>
      <c r="U30" s="25">
        <v>49.98</v>
      </c>
      <c r="V30" s="25">
        <v>0.09</v>
      </c>
      <c r="W30" s="25">
        <v>31.6</v>
      </c>
      <c r="X30" s="25">
        <v>0.2</v>
      </c>
      <c r="Y30" s="25">
        <v>0</v>
      </c>
      <c r="Z30" s="25">
        <v>0.22</v>
      </c>
      <c r="AA30" s="25">
        <v>14.4</v>
      </c>
      <c r="AB30" s="25">
        <v>3.111</v>
      </c>
      <c r="AC30" s="25">
        <v>0.14</v>
      </c>
      <c r="AD30" s="25"/>
      <c r="AF30" s="55">
        <f t="shared" si="52"/>
        <v>1236.1186653465502</v>
      </c>
      <c r="AG30" s="55">
        <f t="shared" si="0"/>
        <v>1234.8191395108252</v>
      </c>
      <c r="AH30" s="55">
        <f t="shared" si="1"/>
        <v>1211.809245886424</v>
      </c>
      <c r="AI30" s="55">
        <f t="shared" si="67"/>
        <v>-0.5751644642688784</v>
      </c>
      <c r="AJ30" s="55">
        <f t="shared" si="2"/>
        <v>3.1516023223445666</v>
      </c>
      <c r="AK30" s="55">
        <f t="shared" si="53"/>
        <v>8.028136430175506</v>
      </c>
      <c r="AL30" s="55">
        <f t="shared" si="3"/>
        <v>1212.8284851143317</v>
      </c>
      <c r="AM30" s="56">
        <f t="shared" si="4"/>
        <v>0.8142485609226228</v>
      </c>
      <c r="AN30" s="56">
        <f t="shared" si="5"/>
        <v>0.22881423639679635</v>
      </c>
      <c r="AO30" s="56">
        <f t="shared" si="6"/>
        <v>0.0002455486841066879</v>
      </c>
      <c r="AP30" s="56">
        <f t="shared" si="7"/>
        <v>1.0433083460035257</v>
      </c>
      <c r="AQ30" s="56">
        <f t="shared" si="54"/>
        <v>0.38309625134754877</v>
      </c>
      <c r="AR30" s="3">
        <f t="shared" si="55"/>
        <v>1.0241281638605062</v>
      </c>
      <c r="AS30" s="55">
        <f t="shared" si="8"/>
        <v>-210.76437625077511</v>
      </c>
      <c r="AT30" s="55">
        <f t="shared" si="9"/>
        <v>-215.01187228823832</v>
      </c>
      <c r="AU30" s="54">
        <f t="shared" si="56"/>
        <v>1.0241281638605062</v>
      </c>
      <c r="AV30" s="4">
        <f t="shared" si="57"/>
        <v>0.714089124149653</v>
      </c>
      <c r="AW30" s="2">
        <f t="shared" si="10"/>
        <v>0.7939414114513982</v>
      </c>
      <c r="AX30" s="2">
        <f t="shared" si="11"/>
        <v>0.021652065081351687</v>
      </c>
      <c r="AY30" s="2">
        <f t="shared" si="12"/>
        <v>0.31149470380541394</v>
      </c>
      <c r="AZ30" s="2">
        <f t="shared" si="13"/>
        <v>0.14154488517745303</v>
      </c>
      <c r="BA30" s="2">
        <f t="shared" si="14"/>
        <v>0.0026783197067944743</v>
      </c>
      <c r="BB30" s="2">
        <f t="shared" si="15"/>
        <v>0.17369727047146402</v>
      </c>
      <c r="BC30" s="2">
        <f t="shared" si="16"/>
        <v>0.20470756062767476</v>
      </c>
      <c r="BD30" s="2">
        <f t="shared" si="17"/>
        <v>0.0819619232010326</v>
      </c>
      <c r="BE30" s="2">
        <f t="shared" si="18"/>
        <v>0.011040339702760084</v>
      </c>
      <c r="BF30" s="2">
        <f t="shared" si="19"/>
        <v>0.0038045048155167433</v>
      </c>
      <c r="BG30" s="2">
        <f t="shared" si="73"/>
        <v>1.7465229840408596</v>
      </c>
      <c r="BH30" s="2">
        <f t="shared" si="74"/>
        <v>0.45458400416494266</v>
      </c>
      <c r="BI30" s="2">
        <f t="shared" si="74"/>
        <v>0.012397240276366808</v>
      </c>
      <c r="BJ30" s="2">
        <f t="shared" si="74"/>
        <v>0.17835133385117052</v>
      </c>
      <c r="BK30" s="2">
        <f t="shared" si="74"/>
        <v>0.08104381475127591</v>
      </c>
      <c r="BL30" s="2">
        <f t="shared" si="74"/>
        <v>0.0015335152936823964</v>
      </c>
      <c r="BM30" s="2">
        <f t="shared" si="75"/>
        <v>0.0994531833011368</v>
      </c>
      <c r="BN30" s="2">
        <f t="shared" si="75"/>
        <v>0.11720862679633975</v>
      </c>
      <c r="BO30" s="2">
        <f t="shared" si="75"/>
        <v>0.04692862558922678</v>
      </c>
      <c r="BP30" s="2">
        <f t="shared" si="75"/>
        <v>0.006321325172152328</v>
      </c>
      <c r="BQ30" s="2">
        <f t="shared" si="75"/>
        <v>0.0021783308037060093</v>
      </c>
      <c r="BR30" s="2">
        <f t="shared" si="76"/>
        <v>0.9999999999999998</v>
      </c>
      <c r="BS30" s="2">
        <f t="shared" si="23"/>
        <v>0.8318908122503329</v>
      </c>
      <c r="BT30" s="2">
        <f t="shared" si="24"/>
        <v>0.0011264080100125155</v>
      </c>
      <c r="BU30" s="2">
        <f t="shared" si="25"/>
        <v>0.6198509219301688</v>
      </c>
      <c r="BV30" s="2">
        <f t="shared" si="26"/>
        <v>0.002783576896311761</v>
      </c>
      <c r="BW30" s="2">
        <f t="shared" si="27"/>
        <v>0</v>
      </c>
      <c r="BX30" s="2">
        <f t="shared" si="28"/>
        <v>0.005459057071960298</v>
      </c>
      <c r="BY30" s="2">
        <f t="shared" si="29"/>
        <v>0.25677603423680456</v>
      </c>
      <c r="BZ30" s="2">
        <f t="shared" si="30"/>
        <v>0.10038722168441434</v>
      </c>
      <c r="CA30" s="2">
        <f t="shared" si="31"/>
        <v>0.0029723991507431</v>
      </c>
      <c r="CB30" s="2">
        <f t="shared" si="77"/>
        <v>1.8212464312307484</v>
      </c>
      <c r="CC30" s="2">
        <f t="shared" si="78"/>
        <v>0.4567700438474786</v>
      </c>
      <c r="CD30" s="2">
        <f t="shared" si="78"/>
        <v>0.0006184819312185666</v>
      </c>
      <c r="CE30" s="2">
        <f t="shared" si="78"/>
        <v>0.3403443440168009</v>
      </c>
      <c r="CF30" s="2">
        <f aca="true" t="shared" si="94" ref="CF30:CK43">BV30/$CB30</f>
        <v>0.0015283911328961102</v>
      </c>
      <c r="CG30" s="2">
        <f t="shared" si="94"/>
        <v>0</v>
      </c>
      <c r="CH30" s="2">
        <f t="shared" si="94"/>
        <v>0.002997429111375783</v>
      </c>
      <c r="CI30" s="2">
        <f t="shared" si="79"/>
        <v>0.1409891763319928</v>
      </c>
      <c r="CJ30" s="2">
        <f t="shared" si="79"/>
        <v>0.055120065007663685</v>
      </c>
      <c r="CK30" s="2">
        <f t="shared" si="79"/>
        <v>0.0016320686205734576</v>
      </c>
      <c r="CL30" s="2">
        <f t="shared" si="80"/>
        <v>0.9999999999999999</v>
      </c>
      <c r="CN30" s="2">
        <f t="shared" si="81"/>
        <v>0.7129980900821825</v>
      </c>
      <c r="CO30" s="2">
        <f t="shared" si="82"/>
        <v>0.2787483557115583</v>
      </c>
      <c r="CP30" s="2">
        <f t="shared" si="83"/>
        <v>0.008253554206259173</v>
      </c>
      <c r="CR30" s="2">
        <f t="shared" si="84"/>
        <v>0.2817844464336578</v>
      </c>
      <c r="CS30" s="2">
        <f t="shared" si="85"/>
        <v>6.830268146117527</v>
      </c>
      <c r="CT30" s="2">
        <f t="shared" si="86"/>
        <v>-0.9594690123728757</v>
      </c>
      <c r="CU30" s="2">
        <f t="shared" si="87"/>
        <v>0.6257262894431036</v>
      </c>
      <c r="CV30" s="2">
        <f t="shared" si="88"/>
        <v>0.29923914014243486</v>
      </c>
      <c r="CW30" s="2">
        <f t="shared" si="89"/>
        <v>-0.7748714505688112</v>
      </c>
      <c r="CY30" s="2">
        <f t="shared" si="44"/>
        <v>1509.2686653465503</v>
      </c>
      <c r="CZ30" s="60">
        <f t="shared" si="58"/>
        <v>1211.809245886424</v>
      </c>
      <c r="DA30" s="2">
        <f t="shared" si="59"/>
        <v>4.3</v>
      </c>
      <c r="DC30" s="2">
        <f t="shared" si="45"/>
        <v>1213.219094352652</v>
      </c>
      <c r="DD30" s="2">
        <f t="shared" si="90"/>
        <v>0.6863104397358748</v>
      </c>
      <c r="DE30" s="2">
        <f t="shared" si="91"/>
        <v>0.9984721317961959</v>
      </c>
      <c r="DF30" s="2">
        <f t="shared" si="92"/>
        <v>0</v>
      </c>
      <c r="DG30" s="2">
        <f t="shared" si="93"/>
        <v>0.38309625134754877</v>
      </c>
      <c r="DI30" s="2">
        <f t="shared" si="60"/>
        <v>1.0205071347132662</v>
      </c>
      <c r="DJ30" s="2">
        <f t="shared" si="61"/>
        <v>-0.20595266910665916</v>
      </c>
      <c r="DK30" s="2">
        <f t="shared" si="50"/>
        <v>0.39095245778208026</v>
      </c>
      <c r="DL30">
        <f t="shared" si="62"/>
        <v>-0.01034</v>
      </c>
      <c r="DM30">
        <f t="shared" si="63"/>
        <v>18.199469012372873</v>
      </c>
      <c r="DN30">
        <f t="shared" si="64"/>
        <v>-2656.7894314759033</v>
      </c>
      <c r="DO30">
        <f t="shared" si="65"/>
        <v>1599.4598507739508</v>
      </c>
      <c r="DP30" s="2">
        <f t="shared" si="66"/>
        <v>1326.309850773951</v>
      </c>
    </row>
    <row r="31" spans="1:120" ht="12.75">
      <c r="A31" s="2" t="s">
        <v>126</v>
      </c>
      <c r="B31" s="3" t="s">
        <v>103</v>
      </c>
      <c r="C31" s="70">
        <v>0.43</v>
      </c>
      <c r="D31" s="69">
        <v>1180</v>
      </c>
      <c r="F31" s="3" t="s">
        <v>103</v>
      </c>
      <c r="G31" s="25">
        <v>47.66</v>
      </c>
      <c r="H31" s="25">
        <v>2.75</v>
      </c>
      <c r="I31" s="25">
        <v>14.07</v>
      </c>
      <c r="J31" s="25">
        <v>12.56</v>
      </c>
      <c r="K31" s="25">
        <v>0.22</v>
      </c>
      <c r="L31" s="25">
        <v>6</v>
      </c>
      <c r="M31" s="25">
        <v>10.68</v>
      </c>
      <c r="N31" s="25">
        <v>2.89</v>
      </c>
      <c r="O31" s="25">
        <v>0.78</v>
      </c>
      <c r="P31" s="25"/>
      <c r="Q31" s="25">
        <v>0.46</v>
      </c>
      <c r="R31" s="25">
        <v>0.11</v>
      </c>
      <c r="S31" s="2">
        <f t="shared" si="51"/>
        <v>98.07</v>
      </c>
      <c r="U31" s="25">
        <v>51.58</v>
      </c>
      <c r="V31" s="25">
        <v>0.13</v>
      </c>
      <c r="W31" s="25">
        <v>30.48</v>
      </c>
      <c r="X31" s="25">
        <v>0.81</v>
      </c>
      <c r="Y31" s="25">
        <v>0</v>
      </c>
      <c r="Z31" s="25">
        <v>0.25</v>
      </c>
      <c r="AA31" s="25">
        <v>13.7</v>
      </c>
      <c r="AB31" s="25">
        <v>3.43</v>
      </c>
      <c r="AC31" s="25">
        <v>0.19</v>
      </c>
      <c r="AD31" s="25"/>
      <c r="AF31" s="55">
        <f t="shared" si="52"/>
        <v>1194.4345553557077</v>
      </c>
      <c r="AG31" s="55">
        <f t="shared" si="0"/>
        <v>1187.8479972201412</v>
      </c>
      <c r="AH31" s="55">
        <f t="shared" si="1"/>
        <v>1185.1494131645636</v>
      </c>
      <c r="AI31" s="55">
        <f t="shared" si="67"/>
        <v>-1.1251086064806373</v>
      </c>
      <c r="AJ31" s="55">
        <f t="shared" si="2"/>
        <v>2.3114734438531537</v>
      </c>
      <c r="AK31" s="55">
        <f t="shared" si="53"/>
        <v>4.963236094478567</v>
      </c>
      <c r="AL31" s="55">
        <f t="shared" si="3"/>
        <v>1175.0459975323802</v>
      </c>
      <c r="AM31" s="56">
        <f t="shared" si="4"/>
        <v>0.7193761638917213</v>
      </c>
      <c r="AN31" s="56">
        <f t="shared" si="5"/>
        <v>0.31202062412815457</v>
      </c>
      <c r="AO31" s="56">
        <f t="shared" si="6"/>
        <v>0.00012380735943688686</v>
      </c>
      <c r="AP31" s="56">
        <f t="shared" si="7"/>
        <v>1.031520595379313</v>
      </c>
      <c r="AQ31" s="56">
        <f t="shared" si="54"/>
        <v>0.3218971378042588</v>
      </c>
      <c r="AR31" s="3">
        <f t="shared" si="55"/>
        <v>1.0808191655474386</v>
      </c>
      <c r="AS31" s="55">
        <f t="shared" si="8"/>
        <v>-201.418393173404</v>
      </c>
      <c r="AT31" s="55">
        <f t="shared" si="9"/>
        <v>-208.26567816873558</v>
      </c>
      <c r="AU31" s="54">
        <f t="shared" si="56"/>
        <v>1.0808191655474388</v>
      </c>
      <c r="AV31" s="4">
        <f t="shared" si="57"/>
        <v>0.671284776786837</v>
      </c>
      <c r="AW31" s="2">
        <f t="shared" si="10"/>
        <v>0.7932756324900133</v>
      </c>
      <c r="AX31" s="2">
        <f t="shared" si="11"/>
        <v>0.034418022528160196</v>
      </c>
      <c r="AY31" s="2">
        <f t="shared" si="12"/>
        <v>0.27599058454295805</v>
      </c>
      <c r="AZ31" s="2">
        <f t="shared" si="13"/>
        <v>0.17480862908837858</v>
      </c>
      <c r="BA31" s="2">
        <f t="shared" si="14"/>
        <v>0.0031012122920778123</v>
      </c>
      <c r="BB31" s="2">
        <f t="shared" si="15"/>
        <v>0.14888337468982632</v>
      </c>
      <c r="BC31" s="2">
        <f t="shared" si="16"/>
        <v>0.19044222539229672</v>
      </c>
      <c r="BD31" s="2">
        <f t="shared" si="17"/>
        <v>0.09325588899645047</v>
      </c>
      <c r="BE31" s="2">
        <f t="shared" si="18"/>
        <v>0.016560509554140127</v>
      </c>
      <c r="BF31" s="2">
        <f t="shared" si="19"/>
        <v>0.006481748944954451</v>
      </c>
      <c r="BG31" s="2">
        <f t="shared" si="73"/>
        <v>1.737217828519256</v>
      </c>
      <c r="BH31" s="2">
        <f t="shared" si="74"/>
        <v>0.4566356731246385</v>
      </c>
      <c r="BI31" s="2">
        <f t="shared" si="74"/>
        <v>0.019812151339418913</v>
      </c>
      <c r="BJ31" s="2">
        <f t="shared" si="74"/>
        <v>0.15886930240533095</v>
      </c>
      <c r="BK31" s="2">
        <f t="shared" si="74"/>
        <v>0.10062562461575665</v>
      </c>
      <c r="BL31" s="2">
        <f t="shared" si="74"/>
        <v>0.001785160295483024</v>
      </c>
      <c r="BM31" s="2">
        <f t="shared" si="75"/>
        <v>0.08570219131168445</v>
      </c>
      <c r="BN31" s="2">
        <f t="shared" si="75"/>
        <v>0.1096248393643433</v>
      </c>
      <c r="BO31" s="2">
        <f t="shared" si="75"/>
        <v>0.05368117196675246</v>
      </c>
      <c r="BP31" s="2">
        <f t="shared" si="75"/>
        <v>0.009532776651420697</v>
      </c>
      <c r="BQ31" s="2">
        <f t="shared" si="75"/>
        <v>0.003731108925171041</v>
      </c>
      <c r="BR31" s="2">
        <f t="shared" si="76"/>
        <v>1</v>
      </c>
      <c r="BS31" s="2">
        <f t="shared" si="23"/>
        <v>0.8585219707057257</v>
      </c>
      <c r="BT31" s="2">
        <f t="shared" si="24"/>
        <v>0.0016270337922403002</v>
      </c>
      <c r="BU31" s="2">
        <f t="shared" si="25"/>
        <v>0.5978815221655551</v>
      </c>
      <c r="BV31" s="2">
        <f t="shared" si="26"/>
        <v>0.011273486430062632</v>
      </c>
      <c r="BW31" s="2">
        <f t="shared" si="27"/>
        <v>0</v>
      </c>
      <c r="BX31" s="2">
        <f t="shared" si="28"/>
        <v>0.00620347394540943</v>
      </c>
      <c r="BY31" s="2">
        <f t="shared" si="29"/>
        <v>0.24429386590584878</v>
      </c>
      <c r="BZ31" s="2">
        <f t="shared" si="30"/>
        <v>0.1106808647950952</v>
      </c>
      <c r="CA31" s="2">
        <f t="shared" si="31"/>
        <v>0.0040339702760084925</v>
      </c>
      <c r="CB31" s="2">
        <f t="shared" si="77"/>
        <v>1.8345161880159455</v>
      </c>
      <c r="CC31" s="2">
        <f aca="true" t="shared" si="95" ref="CC31:CE43">BS31/$CB31</f>
        <v>0.4679827718687121</v>
      </c>
      <c r="CD31" s="2">
        <f t="shared" si="95"/>
        <v>0.0008869007550159367</v>
      </c>
      <c r="CE31" s="2">
        <f t="shared" si="95"/>
        <v>0.3259069208934985</v>
      </c>
      <c r="CF31" s="2">
        <f t="shared" si="94"/>
        <v>0.006145209567354684</v>
      </c>
      <c r="CG31" s="2">
        <f t="shared" si="94"/>
        <v>0</v>
      </c>
      <c r="CH31" s="2">
        <f t="shared" si="94"/>
        <v>0.003381531319229498</v>
      </c>
      <c r="CI31" s="2">
        <f t="shared" si="79"/>
        <v>0.13316528221539214</v>
      </c>
      <c r="CJ31" s="2">
        <f t="shared" si="79"/>
        <v>0.060332454691936016</v>
      </c>
      <c r="CK31" s="2">
        <f t="shared" si="79"/>
        <v>0.002198928688861169</v>
      </c>
      <c r="CL31" s="2">
        <f t="shared" si="80"/>
        <v>1</v>
      </c>
      <c r="CN31" s="2">
        <f t="shared" si="81"/>
        <v>0.6804678138470295</v>
      </c>
      <c r="CO31" s="2">
        <f t="shared" si="82"/>
        <v>0.30829577248101475</v>
      </c>
      <c r="CP31" s="2">
        <f t="shared" si="83"/>
        <v>0.01123641367195577</v>
      </c>
      <c r="CR31" s="2">
        <f t="shared" si="84"/>
        <v>0.25811213348606876</v>
      </c>
      <c r="CS31" s="2">
        <f t="shared" si="85"/>
        <v>7.072802202679585</v>
      </c>
      <c r="CT31" s="2">
        <f t="shared" si="86"/>
        <v>-1.133523232284911</v>
      </c>
      <c r="CU31" s="2">
        <f t="shared" si="87"/>
        <v>1.5477707006369428</v>
      </c>
      <c r="CV31" s="2">
        <f t="shared" si="88"/>
        <v>0.2977378155872674</v>
      </c>
      <c r="CW31" s="2">
        <f t="shared" si="89"/>
        <v>-0.7456060866689607</v>
      </c>
      <c r="CY31" s="2">
        <f t="shared" si="44"/>
        <v>1467.5845553557078</v>
      </c>
      <c r="CZ31" s="60">
        <f t="shared" si="58"/>
        <v>1185.1494131645636</v>
      </c>
      <c r="DA31" s="2">
        <f t="shared" si="59"/>
        <v>4.3</v>
      </c>
      <c r="DC31" s="2">
        <f t="shared" si="45"/>
        <v>1184.7082980497746</v>
      </c>
      <c r="DD31" s="2">
        <f t="shared" si="90"/>
        <v>0.6029328918084053</v>
      </c>
      <c r="DE31" s="2">
        <f t="shared" si="91"/>
        <v>1.013679793401763</v>
      </c>
      <c r="DF31" s="2">
        <f t="shared" si="92"/>
        <v>0</v>
      </c>
      <c r="DG31" s="2">
        <f t="shared" si="93"/>
        <v>0.3218971378042588</v>
      </c>
      <c r="DI31" s="2">
        <f t="shared" si="60"/>
        <v>1.4074820552264307</v>
      </c>
      <c r="DJ31" s="2">
        <f t="shared" si="61"/>
        <v>-0.2418227033217167</v>
      </c>
      <c r="DK31" s="2">
        <f t="shared" si="50"/>
        <v>0.45306444508824373</v>
      </c>
      <c r="DL31">
        <f t="shared" si="62"/>
        <v>-0.01034</v>
      </c>
      <c r="DM31">
        <f t="shared" si="63"/>
        <v>18.37352323228491</v>
      </c>
      <c r="DN31">
        <f t="shared" si="64"/>
        <v>-3119.5128728501454</v>
      </c>
      <c r="DO31">
        <f t="shared" si="65"/>
        <v>1586.810646356638</v>
      </c>
      <c r="DP31" s="2">
        <f t="shared" si="66"/>
        <v>1313.6606463566382</v>
      </c>
    </row>
    <row r="32" spans="1:120" ht="12.75">
      <c r="A32" s="2" t="s">
        <v>126</v>
      </c>
      <c r="B32" s="3" t="s">
        <v>104</v>
      </c>
      <c r="C32" s="70">
        <v>0.43</v>
      </c>
      <c r="D32" s="69">
        <v>1160</v>
      </c>
      <c r="F32" s="3" t="s">
        <v>104</v>
      </c>
      <c r="G32" s="25">
        <v>46.18</v>
      </c>
      <c r="H32" s="25">
        <v>3.36</v>
      </c>
      <c r="I32" s="25">
        <v>13.8</v>
      </c>
      <c r="J32" s="25">
        <v>13.02</v>
      </c>
      <c r="K32" s="25">
        <v>0.2</v>
      </c>
      <c r="L32" s="25">
        <v>5.23</v>
      </c>
      <c r="M32" s="25">
        <v>9.91</v>
      </c>
      <c r="N32" s="25">
        <v>3.05</v>
      </c>
      <c r="O32" s="25">
        <v>1.04</v>
      </c>
      <c r="P32" s="25"/>
      <c r="Q32" s="25">
        <v>0.67</v>
      </c>
      <c r="R32" s="25">
        <v>0.16</v>
      </c>
      <c r="S32" s="2">
        <f t="shared" si="51"/>
        <v>96.46000000000001</v>
      </c>
      <c r="U32" s="25">
        <v>51.96</v>
      </c>
      <c r="V32" s="25">
        <v>0.15</v>
      </c>
      <c r="W32" s="25">
        <v>29.49</v>
      </c>
      <c r="X32" s="25">
        <v>0.74</v>
      </c>
      <c r="Y32" s="25">
        <v>0</v>
      </c>
      <c r="Z32" s="25">
        <v>0.41</v>
      </c>
      <c r="AA32" s="25">
        <v>12.91</v>
      </c>
      <c r="AB32" s="25">
        <v>3.77</v>
      </c>
      <c r="AC32" s="25">
        <v>0.26</v>
      </c>
      <c r="AD32" s="25"/>
      <c r="AF32" s="55">
        <f t="shared" si="52"/>
        <v>1183.3132491751621</v>
      </c>
      <c r="AG32" s="55">
        <f t="shared" si="0"/>
        <v>1178.8380271382798</v>
      </c>
      <c r="AH32" s="55">
        <f t="shared" si="1"/>
        <v>1171.484091413085</v>
      </c>
      <c r="AI32" s="55">
        <f t="shared" si="67"/>
        <v>-1.1298443706338372</v>
      </c>
      <c r="AJ32" s="55">
        <f t="shared" si="2"/>
        <v>2.4493333145155516</v>
      </c>
      <c r="AK32" s="55">
        <f t="shared" si="53"/>
        <v>5.959823079192703</v>
      </c>
      <c r="AL32" s="55">
        <f t="shared" si="3"/>
        <v>1160.7774332935787</v>
      </c>
      <c r="AM32" s="56">
        <f t="shared" si="4"/>
        <v>0.6944139245779258</v>
      </c>
      <c r="AN32" s="56">
        <f t="shared" si="5"/>
        <v>0.3216307663187368</v>
      </c>
      <c r="AO32" s="56">
        <f t="shared" si="6"/>
        <v>6.32593830266834E-05</v>
      </c>
      <c r="AP32" s="56">
        <f t="shared" si="7"/>
        <v>1.0161079502796895</v>
      </c>
      <c r="AQ32" s="56">
        <f t="shared" si="54"/>
        <v>0.33415208379721467</v>
      </c>
      <c r="AR32" s="3">
        <f t="shared" si="55"/>
        <v>1.0539283257540677</v>
      </c>
      <c r="AS32" s="55">
        <f t="shared" si="8"/>
        <v>-192.7999460246683</v>
      </c>
      <c r="AT32" s="55">
        <f t="shared" si="9"/>
        <v>-200.44619787459283</v>
      </c>
      <c r="AU32" s="54">
        <f t="shared" si="56"/>
        <v>1.0539283257540677</v>
      </c>
      <c r="AV32" s="4">
        <f t="shared" si="57"/>
        <v>0.6422832851864532</v>
      </c>
      <c r="AW32" s="2">
        <f t="shared" si="10"/>
        <v>0.768641810918775</v>
      </c>
      <c r="AX32" s="2">
        <f t="shared" si="11"/>
        <v>0.042052565707133914</v>
      </c>
      <c r="AY32" s="2">
        <f t="shared" si="12"/>
        <v>0.27069438995684586</v>
      </c>
      <c r="AZ32" s="2">
        <f t="shared" si="13"/>
        <v>0.1812108559498956</v>
      </c>
      <c r="BA32" s="2">
        <f t="shared" si="14"/>
        <v>0.0028192839018889204</v>
      </c>
      <c r="BB32" s="2">
        <f t="shared" si="15"/>
        <v>0.12977667493796527</v>
      </c>
      <c r="BC32" s="2">
        <f t="shared" si="16"/>
        <v>0.17671184022824538</v>
      </c>
      <c r="BD32" s="2">
        <f t="shared" si="17"/>
        <v>0.09841884478864149</v>
      </c>
      <c r="BE32" s="2">
        <f t="shared" si="18"/>
        <v>0.02208067940552017</v>
      </c>
      <c r="BF32" s="2">
        <f t="shared" si="19"/>
        <v>0.009440808245911918</v>
      </c>
      <c r="BG32" s="2">
        <f t="shared" si="73"/>
        <v>1.7018477540408237</v>
      </c>
      <c r="BH32" s="2">
        <f t="shared" si="74"/>
        <v>0.4516513354932788</v>
      </c>
      <c r="BI32" s="2">
        <f t="shared" si="74"/>
        <v>0.024709945767643068</v>
      </c>
      <c r="BJ32" s="2">
        <f t="shared" si="74"/>
        <v>0.15905911049570448</v>
      </c>
      <c r="BK32" s="2">
        <f t="shared" si="74"/>
        <v>0.10647888773812651</v>
      </c>
      <c r="BL32" s="2">
        <f t="shared" si="74"/>
        <v>0.0016566017114015546</v>
      </c>
      <c r="BM32" s="2">
        <f t="shared" si="75"/>
        <v>0.07625633646125328</v>
      </c>
      <c r="BN32" s="2">
        <f t="shared" si="75"/>
        <v>0.10383528127511131</v>
      </c>
      <c r="BO32" s="2">
        <f t="shared" si="75"/>
        <v>0.057830581234401435</v>
      </c>
      <c r="BP32" s="2">
        <f t="shared" si="75"/>
        <v>0.01297453274130566</v>
      </c>
      <c r="BQ32" s="2">
        <f t="shared" si="75"/>
        <v>0.005547387081773857</v>
      </c>
      <c r="BR32" s="2">
        <f t="shared" si="76"/>
        <v>1</v>
      </c>
      <c r="BS32" s="2">
        <f t="shared" si="23"/>
        <v>0.8648468708388816</v>
      </c>
      <c r="BT32" s="2">
        <f t="shared" si="24"/>
        <v>0.0018773466833541925</v>
      </c>
      <c r="BU32" s="2">
        <f t="shared" si="25"/>
        <v>0.578462142016477</v>
      </c>
      <c r="BV32" s="2">
        <f t="shared" si="26"/>
        <v>0.010299234516353515</v>
      </c>
      <c r="BW32" s="2">
        <f t="shared" si="27"/>
        <v>0</v>
      </c>
      <c r="BX32" s="2">
        <f t="shared" si="28"/>
        <v>0.010173697270471464</v>
      </c>
      <c r="BY32" s="2">
        <f t="shared" si="29"/>
        <v>0.230206847360913</v>
      </c>
      <c r="BZ32" s="2">
        <f t="shared" si="30"/>
        <v>0.12165214585350113</v>
      </c>
      <c r="CA32" s="2">
        <f t="shared" si="31"/>
        <v>0.005520169851380042</v>
      </c>
      <c r="CB32" s="2">
        <f t="shared" si="77"/>
        <v>1.8230384543913318</v>
      </c>
      <c r="CC32" s="2">
        <f t="shared" si="95"/>
        <v>0.4743985892100301</v>
      </c>
      <c r="CD32" s="2">
        <f t="shared" si="95"/>
        <v>0.0010297899525004769</v>
      </c>
      <c r="CE32" s="2">
        <f t="shared" si="95"/>
        <v>0.31730660459908483</v>
      </c>
      <c r="CF32" s="2">
        <f t="shared" si="94"/>
        <v>0.005649488353657454</v>
      </c>
      <c r="CG32" s="2">
        <f t="shared" si="94"/>
        <v>0</v>
      </c>
      <c r="CH32" s="2">
        <f t="shared" si="94"/>
        <v>0.005580626807934347</v>
      </c>
      <c r="CI32" s="2">
        <f t="shared" si="79"/>
        <v>0.12627646268590284</v>
      </c>
      <c r="CJ32" s="2">
        <f t="shared" si="79"/>
        <v>0.06673043322836425</v>
      </c>
      <c r="CK32" s="2">
        <f t="shared" si="79"/>
        <v>0.0030280051625258186</v>
      </c>
      <c r="CL32" s="2">
        <f t="shared" si="80"/>
        <v>1</v>
      </c>
      <c r="CN32" s="2">
        <f t="shared" si="81"/>
        <v>0.6441529645603078</v>
      </c>
      <c r="CO32" s="2">
        <f t="shared" si="82"/>
        <v>0.3404007799724595</v>
      </c>
      <c r="CP32" s="2">
        <f t="shared" si="83"/>
        <v>0.015446255467232717</v>
      </c>
      <c r="CR32" s="2">
        <f t="shared" si="84"/>
        <v>0.2604493038237204</v>
      </c>
      <c r="CS32" s="2">
        <f t="shared" si="85"/>
        <v>7.091778731242117</v>
      </c>
      <c r="CT32" s="2">
        <f t="shared" si="86"/>
        <v>-1.0961590489313355</v>
      </c>
      <c r="CU32" s="2">
        <f t="shared" si="87"/>
        <v>0.7250009366453113</v>
      </c>
      <c r="CV32" s="2">
        <f t="shared" si="88"/>
        <v>0.2882271071858926</v>
      </c>
      <c r="CW32" s="2">
        <f t="shared" si="89"/>
        <v>-0.7814612009919533</v>
      </c>
      <c r="CY32" s="2">
        <f t="shared" si="44"/>
        <v>1456.4632491751622</v>
      </c>
      <c r="CZ32" s="60">
        <f t="shared" si="58"/>
        <v>1171.484091413085</v>
      </c>
      <c r="DA32" s="2">
        <f t="shared" si="59"/>
        <v>4.3</v>
      </c>
      <c r="DC32" s="2">
        <f t="shared" si="45"/>
        <v>1169.6364001449851</v>
      </c>
      <c r="DD32" s="2">
        <f t="shared" si="90"/>
        <v>0.5607934687426188</v>
      </c>
      <c r="DE32" s="2">
        <f t="shared" si="91"/>
        <v>1.0029109886820609</v>
      </c>
      <c r="DF32" s="2">
        <f t="shared" si="92"/>
        <v>0</v>
      </c>
      <c r="DG32" s="2">
        <f t="shared" si="93"/>
        <v>0.33415208379721467</v>
      </c>
      <c r="DI32" s="2">
        <f t="shared" si="60"/>
        <v>1.5814569089754913</v>
      </c>
      <c r="DJ32" s="2">
        <f t="shared" si="61"/>
        <v>-0.24658752495686442</v>
      </c>
      <c r="DK32" s="2">
        <f t="shared" si="50"/>
        <v>0.5284471215696626</v>
      </c>
      <c r="DL32">
        <f t="shared" si="62"/>
        <v>-0.01034</v>
      </c>
      <c r="DM32">
        <f t="shared" si="63"/>
        <v>18.336159048931332</v>
      </c>
      <c r="DN32">
        <f t="shared" si="64"/>
        <v>-3180.979071943551</v>
      </c>
      <c r="DO32">
        <f t="shared" si="65"/>
        <v>1578.4203378610307</v>
      </c>
      <c r="DP32" s="2">
        <f t="shared" si="66"/>
        <v>1305.2703378610308</v>
      </c>
    </row>
    <row r="33" spans="1:120" ht="12.75">
      <c r="A33" s="2" t="s">
        <v>126</v>
      </c>
      <c r="B33" s="3" t="s">
        <v>105</v>
      </c>
      <c r="C33" s="70">
        <v>0.43</v>
      </c>
      <c r="D33" s="69">
        <v>1140</v>
      </c>
      <c r="F33" s="3" t="s">
        <v>105</v>
      </c>
      <c r="G33" s="25">
        <v>45.99</v>
      </c>
      <c r="H33" s="25">
        <v>4.33</v>
      </c>
      <c r="I33" s="25">
        <v>13.34</v>
      </c>
      <c r="J33" s="25">
        <v>13.69</v>
      </c>
      <c r="K33" s="25">
        <v>0.2</v>
      </c>
      <c r="L33" s="25">
        <v>4.72</v>
      </c>
      <c r="M33" s="25">
        <v>9.25</v>
      </c>
      <c r="N33" s="25">
        <v>3.03</v>
      </c>
      <c r="O33" s="25">
        <v>1.37</v>
      </c>
      <c r="P33" s="25"/>
      <c r="Q33" s="25">
        <v>0.96</v>
      </c>
      <c r="R33" s="25">
        <v>0.24</v>
      </c>
      <c r="S33" s="2">
        <f t="shared" si="51"/>
        <v>96.88</v>
      </c>
      <c r="U33" s="25">
        <v>52.25</v>
      </c>
      <c r="V33" s="25">
        <v>0.18</v>
      </c>
      <c r="W33" s="25">
        <v>28.96</v>
      </c>
      <c r="X33" s="25">
        <v>0.8</v>
      </c>
      <c r="Y33" s="25">
        <v>0</v>
      </c>
      <c r="Z33" s="25">
        <v>0.56</v>
      </c>
      <c r="AA33" s="25">
        <v>12.67</v>
      </c>
      <c r="AB33" s="25">
        <v>3.95</v>
      </c>
      <c r="AC33" s="25">
        <v>0.35</v>
      </c>
      <c r="AD33" s="25"/>
      <c r="AF33" s="55">
        <f t="shared" si="52"/>
        <v>1163.7457420005558</v>
      </c>
      <c r="AG33" s="55">
        <f t="shared" si="0"/>
        <v>1158.373732486345</v>
      </c>
      <c r="AH33" s="55">
        <f t="shared" si="1"/>
        <v>1154.8282185413682</v>
      </c>
      <c r="AI33" s="55">
        <f t="shared" si="67"/>
        <v>-1.178007350242816</v>
      </c>
      <c r="AJ33" s="55">
        <f t="shared" si="2"/>
        <v>2.181506432734305</v>
      </c>
      <c r="AK33" s="55">
        <f t="shared" si="53"/>
        <v>5.63776023100855</v>
      </c>
      <c r="AL33" s="55">
        <f t="shared" si="3"/>
        <v>1141.6967899164297</v>
      </c>
      <c r="AM33" s="56">
        <f t="shared" si="4"/>
        <v>0.6565503295488553</v>
      </c>
      <c r="AN33" s="56">
        <f t="shared" si="5"/>
        <v>0.3566509464519804</v>
      </c>
      <c r="AO33" s="56">
        <f t="shared" si="6"/>
        <v>3.23352821492051E-05</v>
      </c>
      <c r="AP33" s="56">
        <f t="shared" si="7"/>
        <v>1.013233611282985</v>
      </c>
      <c r="AQ33" s="56">
        <f t="shared" si="54"/>
        <v>0.32534347259046825</v>
      </c>
      <c r="AR33" s="3">
        <f t="shared" si="55"/>
        <v>1.050704071159767</v>
      </c>
      <c r="AS33" s="55">
        <f t="shared" si="8"/>
        <v>-180.7922014214306</v>
      </c>
      <c r="AT33" s="55">
        <f t="shared" si="9"/>
        <v>-190.48850222193587</v>
      </c>
      <c r="AU33" s="54">
        <f t="shared" si="56"/>
        <v>1.050704071159767</v>
      </c>
      <c r="AV33" s="4">
        <f t="shared" si="57"/>
        <v>0.6278364422086912</v>
      </c>
      <c r="AW33" s="2">
        <f t="shared" si="10"/>
        <v>0.7654793608521971</v>
      </c>
      <c r="AX33" s="2">
        <f t="shared" si="11"/>
        <v>0.054192740926157695</v>
      </c>
      <c r="AY33" s="2">
        <f t="shared" si="12"/>
        <v>0.261671243624951</v>
      </c>
      <c r="AZ33" s="2">
        <f t="shared" si="13"/>
        <v>0.19053583855254003</v>
      </c>
      <c r="BA33" s="2">
        <f t="shared" si="14"/>
        <v>0.0028192839018889204</v>
      </c>
      <c r="BB33" s="2">
        <f t="shared" si="15"/>
        <v>0.11712158808933003</v>
      </c>
      <c r="BC33" s="2">
        <f t="shared" si="16"/>
        <v>0.16494293865905849</v>
      </c>
      <c r="BD33" s="2">
        <f t="shared" si="17"/>
        <v>0.09777347531461762</v>
      </c>
      <c r="BE33" s="2">
        <f t="shared" si="18"/>
        <v>0.029087048832271763</v>
      </c>
      <c r="BF33" s="2">
        <f t="shared" si="19"/>
        <v>0.013527128232948419</v>
      </c>
      <c r="BG33" s="2">
        <f t="shared" si="73"/>
        <v>1.697150646985961</v>
      </c>
      <c r="BH33" s="2">
        <f t="shared" si="74"/>
        <v>0.4510379571852641</v>
      </c>
      <c r="BI33" s="2">
        <f t="shared" si="74"/>
        <v>0.03193160313870828</v>
      </c>
      <c r="BJ33" s="2">
        <f t="shared" si="74"/>
        <v>0.15418268501365132</v>
      </c>
      <c r="BK33" s="2">
        <f t="shared" si="74"/>
        <v>0.11226807643206005</v>
      </c>
      <c r="BL33" s="2">
        <f t="shared" si="74"/>
        <v>0.001661186593479961</v>
      </c>
      <c r="BM33" s="2">
        <f t="shared" si="75"/>
        <v>0.06901071999550012</v>
      </c>
      <c r="BN33" s="2">
        <f t="shared" si="75"/>
        <v>0.09718815412879662</v>
      </c>
      <c r="BO33" s="2">
        <f t="shared" si="75"/>
        <v>0.0576103691727411</v>
      </c>
      <c r="BP33" s="2">
        <f t="shared" si="75"/>
        <v>0.017138754820574496</v>
      </c>
      <c r="BQ33" s="2">
        <f t="shared" si="75"/>
        <v>0.007970493519224</v>
      </c>
      <c r="BR33" s="2">
        <f t="shared" si="76"/>
        <v>1</v>
      </c>
      <c r="BS33" s="2">
        <f t="shared" si="23"/>
        <v>0.8696737683089215</v>
      </c>
      <c r="BT33" s="2">
        <f t="shared" si="24"/>
        <v>0.002252816020025031</v>
      </c>
      <c r="BU33" s="2">
        <f t="shared" si="25"/>
        <v>0.5680659081992939</v>
      </c>
      <c r="BV33" s="2">
        <f t="shared" si="26"/>
        <v>0.011134307585247045</v>
      </c>
      <c r="BW33" s="2">
        <f t="shared" si="27"/>
        <v>0</v>
      </c>
      <c r="BX33" s="2">
        <f t="shared" si="28"/>
        <v>0.013895781637717123</v>
      </c>
      <c r="BY33" s="2">
        <f t="shared" si="29"/>
        <v>0.22592724679029957</v>
      </c>
      <c r="BZ33" s="2">
        <f t="shared" si="30"/>
        <v>0.12746047111971606</v>
      </c>
      <c r="CA33" s="2">
        <f t="shared" si="31"/>
        <v>0.007430997876857749</v>
      </c>
      <c r="CB33" s="2">
        <f t="shared" si="77"/>
        <v>1.8258412975380782</v>
      </c>
      <c r="CC33" s="2">
        <f t="shared" si="95"/>
        <v>0.47631399809039776</v>
      </c>
      <c r="CD33" s="2">
        <f t="shared" si="95"/>
        <v>0.0012338509502784693</v>
      </c>
      <c r="CE33" s="2">
        <f t="shared" si="95"/>
        <v>0.31112556658963775</v>
      </c>
      <c r="CF33" s="2">
        <f t="shared" si="94"/>
        <v>0.006098179288780621</v>
      </c>
      <c r="CG33" s="2">
        <f t="shared" si="94"/>
        <v>0</v>
      </c>
      <c r="CH33" s="2">
        <f t="shared" si="94"/>
        <v>0.007610618544149413</v>
      </c>
      <c r="CI33" s="2">
        <f t="shared" si="79"/>
        <v>0.12373870998258972</v>
      </c>
      <c r="CJ33" s="2">
        <f t="shared" si="79"/>
        <v>0.06980917305988248</v>
      </c>
      <c r="CK33" s="2">
        <f t="shared" si="79"/>
        <v>0.004069903494283721</v>
      </c>
      <c r="CL33" s="2">
        <f t="shared" si="80"/>
        <v>0.9999999999999999</v>
      </c>
      <c r="CN33" s="2">
        <f t="shared" si="81"/>
        <v>0.6261516847805344</v>
      </c>
      <c r="CO33" s="2">
        <f t="shared" si="82"/>
        <v>0.3532534914153505</v>
      </c>
      <c r="CP33" s="2">
        <f t="shared" si="83"/>
        <v>0.020594823804115092</v>
      </c>
      <c r="CR33" s="2">
        <f t="shared" si="84"/>
        <v>0.2547545048256578</v>
      </c>
      <c r="CS33" s="2">
        <f t="shared" si="85"/>
        <v>7.1945856048710555</v>
      </c>
      <c r="CT33" s="2">
        <f t="shared" si="86"/>
        <v>-1.122873815973406</v>
      </c>
      <c r="CU33" s="2">
        <f t="shared" si="87"/>
        <v>0.4925388709172493</v>
      </c>
      <c r="CV33" s="2">
        <f t="shared" si="88"/>
        <v>0.28012813714983675</v>
      </c>
      <c r="CW33" s="2">
        <f t="shared" si="89"/>
        <v>-0.8132493425035479</v>
      </c>
      <c r="CY33" s="2">
        <f t="shared" si="44"/>
        <v>1436.8957420005559</v>
      </c>
      <c r="CZ33" s="60">
        <f t="shared" si="58"/>
        <v>1154.8282185413682</v>
      </c>
      <c r="DA33" s="2">
        <f t="shared" si="59"/>
        <v>4.3</v>
      </c>
      <c r="DC33" s="2">
        <f t="shared" si="45"/>
        <v>1152.0768671859169</v>
      </c>
      <c r="DD33" s="2">
        <f t="shared" si="90"/>
        <v>0.522884362540692</v>
      </c>
      <c r="DE33" s="2">
        <f t="shared" si="91"/>
        <v>0.997316566362045</v>
      </c>
      <c r="DF33" s="2">
        <f t="shared" si="92"/>
        <v>0</v>
      </c>
      <c r="DG33" s="2">
        <f t="shared" si="93"/>
        <v>0.32534347259046825</v>
      </c>
      <c r="DI33" s="2">
        <f t="shared" si="60"/>
        <v>1.73406276000879</v>
      </c>
      <c r="DJ33" s="2">
        <f t="shared" si="61"/>
        <v>-0.25727748721555727</v>
      </c>
      <c r="DK33" s="2">
        <f t="shared" si="50"/>
        <v>0.5641660000310716</v>
      </c>
      <c r="DL33">
        <f t="shared" si="62"/>
        <v>-0.01034</v>
      </c>
      <c r="DM33">
        <f t="shared" si="63"/>
        <v>18.362873815973405</v>
      </c>
      <c r="DN33">
        <f t="shared" si="64"/>
        <v>-3318.8795850806887</v>
      </c>
      <c r="DO33">
        <f t="shared" si="65"/>
        <v>1571.682912577968</v>
      </c>
      <c r="DP33" s="2">
        <f t="shared" si="66"/>
        <v>1298.532912577968</v>
      </c>
    </row>
    <row r="34" spans="1:120" ht="12.75">
      <c r="A34" s="2" t="s">
        <v>126</v>
      </c>
      <c r="B34" s="3" t="s">
        <v>106</v>
      </c>
      <c r="C34" s="70">
        <v>0.43</v>
      </c>
      <c r="D34" s="69">
        <v>1120</v>
      </c>
      <c r="F34" s="3" t="s">
        <v>106</v>
      </c>
      <c r="G34" s="25">
        <v>46.15</v>
      </c>
      <c r="H34" s="25">
        <v>5.21</v>
      </c>
      <c r="I34" s="25">
        <v>13.59</v>
      </c>
      <c r="J34" s="25">
        <v>13.57</v>
      </c>
      <c r="K34" s="25">
        <v>0.13</v>
      </c>
      <c r="L34" s="25">
        <v>4.37</v>
      </c>
      <c r="M34" s="25">
        <v>8.88</v>
      </c>
      <c r="N34" s="25">
        <v>3.05</v>
      </c>
      <c r="O34" s="25">
        <v>1.8</v>
      </c>
      <c r="P34" s="25"/>
      <c r="Q34" s="25">
        <v>1.18</v>
      </c>
      <c r="R34" s="25">
        <v>0.42</v>
      </c>
      <c r="S34" s="2">
        <f t="shared" si="51"/>
        <v>97.93</v>
      </c>
      <c r="U34" s="25">
        <v>52.78</v>
      </c>
      <c r="V34" s="25">
        <v>0.14</v>
      </c>
      <c r="W34" s="25">
        <v>28.29</v>
      </c>
      <c r="X34" s="25">
        <v>0.74</v>
      </c>
      <c r="Y34" s="25">
        <v>0.02</v>
      </c>
      <c r="Z34" s="25">
        <v>0.18</v>
      </c>
      <c r="AA34" s="25">
        <v>11.65</v>
      </c>
      <c r="AB34" s="25">
        <v>4.53</v>
      </c>
      <c r="AC34" s="25">
        <v>0.54</v>
      </c>
      <c r="AD34" s="25"/>
      <c r="AF34" s="55">
        <f t="shared" si="52"/>
        <v>1149.0230463322432</v>
      </c>
      <c r="AG34" s="55">
        <f t="shared" si="0"/>
        <v>1147.4978920694598</v>
      </c>
      <c r="AH34" s="55">
        <f t="shared" si="1"/>
        <v>1135.9611240164336</v>
      </c>
      <c r="AI34" s="55">
        <f t="shared" si="67"/>
        <v>-0.9108781392687088</v>
      </c>
      <c r="AJ34" s="55">
        <f t="shared" si="2"/>
        <v>2.7290119998206634</v>
      </c>
      <c r="AK34" s="55">
        <f t="shared" si="53"/>
        <v>7.315228531647513</v>
      </c>
      <c r="AL34" s="55">
        <f t="shared" si="3"/>
        <v>1125.9249948355227</v>
      </c>
      <c r="AM34" s="56">
        <f t="shared" si="4"/>
        <v>0.6552391802576303</v>
      </c>
      <c r="AN34" s="56">
        <f t="shared" si="5"/>
        <v>0.35221543017977563</v>
      </c>
      <c r="AO34" s="56">
        <f t="shared" si="6"/>
        <v>1.149210952335405E-05</v>
      </c>
      <c r="AP34" s="56">
        <f t="shared" si="7"/>
        <v>1.0074661025469294</v>
      </c>
      <c r="AQ34" s="56">
        <f t="shared" si="54"/>
        <v>0.39288300901706946</v>
      </c>
      <c r="AR34" s="3">
        <f t="shared" si="55"/>
        <v>0.8833129487102994</v>
      </c>
      <c r="AS34" s="55">
        <f t="shared" si="8"/>
        <v>-170.70756588779523</v>
      </c>
      <c r="AT34" s="55">
        <f t="shared" si="9"/>
        <v>-181.45862392683728</v>
      </c>
      <c r="AU34" s="54">
        <f t="shared" si="56"/>
        <v>0.8833129487102993</v>
      </c>
      <c r="AV34" s="4">
        <f t="shared" si="57"/>
        <v>0.6166954108506008</v>
      </c>
      <c r="AW34" s="2">
        <f t="shared" si="10"/>
        <v>0.7681424766977364</v>
      </c>
      <c r="AX34" s="2">
        <f t="shared" si="11"/>
        <v>0.06520650813516896</v>
      </c>
      <c r="AY34" s="2">
        <f t="shared" si="12"/>
        <v>0.2665751275009808</v>
      </c>
      <c r="AZ34" s="2">
        <f t="shared" si="13"/>
        <v>0.18886569241475298</v>
      </c>
      <c r="BA34" s="2">
        <f t="shared" si="14"/>
        <v>0.0018325345362277983</v>
      </c>
      <c r="BB34" s="2">
        <f t="shared" si="15"/>
        <v>0.10843672456575683</v>
      </c>
      <c r="BC34" s="2">
        <f t="shared" si="16"/>
        <v>0.15834522111269617</v>
      </c>
      <c r="BD34" s="2">
        <f t="shared" si="17"/>
        <v>0.09841884478864149</v>
      </c>
      <c r="BE34" s="2">
        <f t="shared" si="18"/>
        <v>0.03821656050955414</v>
      </c>
      <c r="BF34" s="2">
        <f t="shared" si="19"/>
        <v>0.016627095119665765</v>
      </c>
      <c r="BG34" s="2">
        <f t="shared" si="73"/>
        <v>1.7106667853811814</v>
      </c>
      <c r="BH34" s="2">
        <f t="shared" si="74"/>
        <v>0.449031034718181</v>
      </c>
      <c r="BI34" s="2">
        <f t="shared" si="74"/>
        <v>0.03811759758966691</v>
      </c>
      <c r="BJ34" s="2">
        <f t="shared" si="74"/>
        <v>0.15583112373435185</v>
      </c>
      <c r="BK34" s="2">
        <f t="shared" si="74"/>
        <v>0.11040472290029806</v>
      </c>
      <c r="BL34" s="2">
        <f t="shared" si="74"/>
        <v>0.0010712399117630974</v>
      </c>
      <c r="BM34" s="2">
        <f t="shared" si="75"/>
        <v>0.06338857192553386</v>
      </c>
      <c r="BN34" s="2">
        <f t="shared" si="75"/>
        <v>0.09256345096886458</v>
      </c>
      <c r="BO34" s="2">
        <f t="shared" si="75"/>
        <v>0.05753244619565767</v>
      </c>
      <c r="BP34" s="2">
        <f t="shared" si="75"/>
        <v>0.022340154632182495</v>
      </c>
      <c r="BQ34" s="2">
        <f t="shared" si="75"/>
        <v>0.0097196574235004</v>
      </c>
      <c r="BR34" s="2">
        <f t="shared" si="76"/>
        <v>0.9999999999999999</v>
      </c>
      <c r="BS34" s="2">
        <f t="shared" si="23"/>
        <v>0.8784953395472703</v>
      </c>
      <c r="BT34" s="2">
        <f t="shared" si="24"/>
        <v>0.0017521902377972466</v>
      </c>
      <c r="BU34" s="2">
        <f t="shared" si="25"/>
        <v>0.554923499411534</v>
      </c>
      <c r="BV34" s="2">
        <f t="shared" si="26"/>
        <v>0.010299234516353515</v>
      </c>
      <c r="BW34" s="2">
        <f t="shared" si="27"/>
        <v>0.000281928390188892</v>
      </c>
      <c r="BX34" s="2">
        <f t="shared" si="28"/>
        <v>0.004466501240694789</v>
      </c>
      <c r="BY34" s="2">
        <f t="shared" si="29"/>
        <v>0.2077389443651926</v>
      </c>
      <c r="BZ34" s="2">
        <f t="shared" si="30"/>
        <v>0.14617618586640854</v>
      </c>
      <c r="CA34" s="2">
        <f t="shared" si="31"/>
        <v>0.011464968152866243</v>
      </c>
      <c r="CB34" s="2">
        <f t="shared" si="77"/>
        <v>1.8155987917283063</v>
      </c>
      <c r="CC34" s="2">
        <f t="shared" si="95"/>
        <v>0.4838598392715454</v>
      </c>
      <c r="CD34" s="2">
        <f t="shared" si="95"/>
        <v>0.0009650756795940034</v>
      </c>
      <c r="CE34" s="2">
        <f t="shared" si="95"/>
        <v>0.3056421396289269</v>
      </c>
      <c r="CF34" s="2">
        <f t="shared" si="94"/>
        <v>0.0056726378995600995</v>
      </c>
      <c r="CG34" s="2">
        <f t="shared" si="94"/>
        <v>0.0001552812171242516</v>
      </c>
      <c r="CH34" s="2">
        <f t="shared" si="94"/>
        <v>0.002460070617497511</v>
      </c>
      <c r="CI34" s="2">
        <f t="shared" si="79"/>
        <v>0.11441897037585136</v>
      </c>
      <c r="CJ34" s="2">
        <f t="shared" si="79"/>
        <v>0.0805112817503367</v>
      </c>
      <c r="CK34" s="2">
        <f t="shared" si="79"/>
        <v>0.0063147035595636745</v>
      </c>
      <c r="CL34" s="2">
        <f t="shared" si="80"/>
        <v>0.9999999999999999</v>
      </c>
      <c r="CN34" s="2">
        <f t="shared" si="81"/>
        <v>0.5685557185071461</v>
      </c>
      <c r="CO34" s="2">
        <f t="shared" si="82"/>
        <v>0.4000660860094142</v>
      </c>
      <c r="CP34" s="2">
        <f t="shared" si="83"/>
        <v>0.031378195483439675</v>
      </c>
      <c r="CR34" s="2">
        <f t="shared" si="84"/>
        <v>0.2576308032445393</v>
      </c>
      <c r="CS34" s="2">
        <f t="shared" si="85"/>
        <v>7.134496296808674</v>
      </c>
      <c r="CT34" s="2">
        <f t="shared" si="86"/>
        <v>-0.9342433984099071</v>
      </c>
      <c r="CU34" s="2">
        <f t="shared" si="87"/>
        <v>1.3239171374764591</v>
      </c>
      <c r="CV34" s="2">
        <f t="shared" si="88"/>
        <v>0.2674279857064596</v>
      </c>
      <c r="CW34" s="2">
        <f t="shared" si="89"/>
        <v>-0.8649510493758141</v>
      </c>
      <c r="CY34" s="2">
        <f t="shared" si="44"/>
        <v>1422.1730463322433</v>
      </c>
      <c r="CZ34" s="60">
        <f t="shared" si="58"/>
        <v>1135.9611240164336</v>
      </c>
      <c r="DA34" s="2">
        <f t="shared" si="59"/>
        <v>4.3</v>
      </c>
      <c r="DC34" s="2">
        <f t="shared" si="45"/>
        <v>1131.8785088513564</v>
      </c>
      <c r="DD34" s="2">
        <f t="shared" si="90"/>
        <v>0.5058396900529872</v>
      </c>
      <c r="DE34" s="2">
        <f t="shared" si="91"/>
        <v>0.9219392726191101</v>
      </c>
      <c r="DF34" s="2">
        <f t="shared" si="92"/>
        <v>0</v>
      </c>
      <c r="DG34" s="2">
        <f t="shared" si="93"/>
        <v>0.39288300901706946</v>
      </c>
      <c r="DI34" s="2">
        <f t="shared" si="60"/>
        <v>1.7909994729826442</v>
      </c>
      <c r="DJ34" s="2">
        <f t="shared" si="61"/>
        <v>-0.2581689062106223</v>
      </c>
      <c r="DK34" s="2">
        <f t="shared" si="50"/>
        <v>0.7036532620934068</v>
      </c>
      <c r="DL34">
        <f t="shared" si="62"/>
        <v>-0.01034</v>
      </c>
      <c r="DM34">
        <f t="shared" si="63"/>
        <v>18.174243398409907</v>
      </c>
      <c r="DN34">
        <f t="shared" si="64"/>
        <v>-3330.3788901170274</v>
      </c>
      <c r="DO34">
        <f t="shared" si="65"/>
        <v>1549.8449633390942</v>
      </c>
      <c r="DP34" s="2">
        <f t="shared" si="66"/>
        <v>1276.694963339094</v>
      </c>
    </row>
    <row r="35" spans="1:120" ht="12.75">
      <c r="A35" s="2" t="s">
        <v>126</v>
      </c>
      <c r="B35" s="3" t="s">
        <v>107</v>
      </c>
      <c r="C35" s="70">
        <v>0.28</v>
      </c>
      <c r="D35" s="69">
        <v>1200</v>
      </c>
      <c r="F35" s="3" t="s">
        <v>107</v>
      </c>
      <c r="G35" s="25">
        <v>48.07</v>
      </c>
      <c r="H35" s="25">
        <v>1.63</v>
      </c>
      <c r="I35" s="25">
        <v>16.16</v>
      </c>
      <c r="J35" s="25">
        <v>10.16</v>
      </c>
      <c r="K35" s="25">
        <v>0.2</v>
      </c>
      <c r="L35" s="25">
        <v>7.72</v>
      </c>
      <c r="M35" s="25">
        <v>11.39</v>
      </c>
      <c r="N35" s="25">
        <v>2.57</v>
      </c>
      <c r="O35" s="25">
        <v>0.5</v>
      </c>
      <c r="P35" s="25"/>
      <c r="Q35" s="25">
        <v>0.28</v>
      </c>
      <c r="R35" s="25">
        <v>0.06</v>
      </c>
      <c r="S35" s="2">
        <f t="shared" si="51"/>
        <v>98.67999999999999</v>
      </c>
      <c r="U35" s="25">
        <v>48.73</v>
      </c>
      <c r="V35" s="25">
        <v>0.06</v>
      </c>
      <c r="W35" s="25">
        <v>31.46</v>
      </c>
      <c r="X35" s="25">
        <v>0.35</v>
      </c>
      <c r="Y35" s="25">
        <v>0</v>
      </c>
      <c r="Z35" s="25">
        <v>0.22</v>
      </c>
      <c r="AA35" s="25">
        <v>15.41</v>
      </c>
      <c r="AB35" s="25">
        <v>2.6</v>
      </c>
      <c r="AC35" s="25">
        <v>0.09</v>
      </c>
      <c r="AD35" s="25"/>
      <c r="AF35" s="55">
        <f t="shared" si="52"/>
        <v>1228.7197570354601</v>
      </c>
      <c r="AG35" s="55">
        <f t="shared" si="0"/>
        <v>1227.156362535331</v>
      </c>
      <c r="AH35" s="55">
        <f t="shared" si="1"/>
        <v>1202.7330631371187</v>
      </c>
      <c r="AI35" s="55">
        <f t="shared" si="67"/>
        <v>-0.27829028571021786</v>
      </c>
      <c r="AJ35" s="55">
        <f t="shared" si="2"/>
        <v>2.997993299313771</v>
      </c>
      <c r="AK35" s="55">
        <f t="shared" si="53"/>
        <v>7.186687777512758</v>
      </c>
      <c r="AL35" s="55">
        <f t="shared" si="3"/>
        <v>1198.6143611082016</v>
      </c>
      <c r="AM35" s="56">
        <f t="shared" si="4"/>
        <v>0.8384347992730853</v>
      </c>
      <c r="AN35" s="56">
        <f t="shared" si="5"/>
        <v>0.23731973179291563</v>
      </c>
      <c r="AO35" s="56">
        <f t="shared" si="6"/>
        <v>0.0002702159743429881</v>
      </c>
      <c r="AP35" s="56">
        <f t="shared" si="7"/>
        <v>1.076024747040344</v>
      </c>
      <c r="AQ35" s="56">
        <f t="shared" si="54"/>
        <v>0.296250189740827</v>
      </c>
      <c r="AR35" s="3">
        <f t="shared" si="55"/>
        <v>1.3373303167420811</v>
      </c>
      <c r="AS35" s="55">
        <f t="shared" si="8"/>
        <v>-207.6979151062356</v>
      </c>
      <c r="AT35" s="55">
        <f t="shared" si="9"/>
        <v>-212.02079413033107</v>
      </c>
      <c r="AU35" s="54">
        <f t="shared" si="56"/>
        <v>1.3373303167420814</v>
      </c>
      <c r="AV35" s="4">
        <f t="shared" si="57"/>
        <v>0.7100681812192556</v>
      </c>
      <c r="AW35" s="2">
        <f t="shared" si="10"/>
        <v>0.8000998668442078</v>
      </c>
      <c r="AX35" s="2">
        <f t="shared" si="11"/>
        <v>0.020400500625782227</v>
      </c>
      <c r="AY35" s="2">
        <f t="shared" si="12"/>
        <v>0.3169870537465673</v>
      </c>
      <c r="AZ35" s="2">
        <f t="shared" si="13"/>
        <v>0.14140570633263747</v>
      </c>
      <c r="BA35" s="2">
        <f t="shared" si="14"/>
        <v>0.0028192839018889204</v>
      </c>
      <c r="BB35" s="2">
        <f t="shared" si="15"/>
        <v>0.19156327543424317</v>
      </c>
      <c r="BC35" s="2">
        <f t="shared" si="16"/>
        <v>0.20310271041369474</v>
      </c>
      <c r="BD35" s="2">
        <f t="shared" si="17"/>
        <v>0.08292997741206841</v>
      </c>
      <c r="BE35" s="2">
        <f t="shared" si="18"/>
        <v>0.010615711252653927</v>
      </c>
      <c r="BF35" s="2">
        <f t="shared" si="19"/>
        <v>0.003945412401276623</v>
      </c>
      <c r="BG35" s="2">
        <f t="shared" si="73"/>
        <v>1.7738694983650205</v>
      </c>
      <c r="BH35" s="2">
        <f t="shared" si="74"/>
        <v>0.4510477617331273</v>
      </c>
      <c r="BI35" s="2">
        <f t="shared" si="74"/>
        <v>0.011500564525510706</v>
      </c>
      <c r="BJ35" s="2">
        <f t="shared" si="74"/>
        <v>0.17869806884820727</v>
      </c>
      <c r="BK35" s="2">
        <f t="shared" si="74"/>
        <v>0.07971595794559376</v>
      </c>
      <c r="BL35" s="2">
        <f t="shared" si="74"/>
        <v>0.001589341213932288</v>
      </c>
      <c r="BM35" s="2">
        <f t="shared" si="75"/>
        <v>0.10799175227422732</v>
      </c>
      <c r="BN35" s="2">
        <f t="shared" si="75"/>
        <v>0.11449698560175647</v>
      </c>
      <c r="BO35" s="2">
        <f t="shared" si="75"/>
        <v>0.04675088978558183</v>
      </c>
      <c r="BP35" s="2">
        <f t="shared" si="75"/>
        <v>0.005984493933989198</v>
      </c>
      <c r="BQ35" s="2">
        <f t="shared" si="75"/>
        <v>0.0022241841380739214</v>
      </c>
      <c r="BR35" s="2">
        <f t="shared" si="76"/>
        <v>0.9999999999999999</v>
      </c>
      <c r="BS35" s="2">
        <f t="shared" si="23"/>
        <v>0.8110852197070573</v>
      </c>
      <c r="BT35" s="2">
        <f t="shared" si="24"/>
        <v>0.000750938673341677</v>
      </c>
      <c r="BU35" s="2">
        <f t="shared" si="25"/>
        <v>0.617104746959592</v>
      </c>
      <c r="BV35" s="2">
        <f t="shared" si="26"/>
        <v>0.0048712595685455815</v>
      </c>
      <c r="BW35" s="2">
        <f t="shared" si="27"/>
        <v>0</v>
      </c>
      <c r="BX35" s="2">
        <f t="shared" si="28"/>
        <v>0.005459057071960298</v>
      </c>
      <c r="BY35" s="2">
        <f t="shared" si="29"/>
        <v>0.27478601997146934</v>
      </c>
      <c r="BZ35" s="2">
        <f t="shared" si="30"/>
        <v>0.08389803162310423</v>
      </c>
      <c r="CA35" s="2">
        <f t="shared" si="31"/>
        <v>0.0019108280254777068</v>
      </c>
      <c r="CB35" s="2">
        <f t="shared" si="77"/>
        <v>1.7998661016005482</v>
      </c>
      <c r="CC35" s="2">
        <f t="shared" si="95"/>
        <v>0.4506364217792601</v>
      </c>
      <c r="CD35" s="2">
        <f t="shared" si="95"/>
        <v>0.00041721918795731397</v>
      </c>
      <c r="CE35" s="2">
        <f t="shared" si="95"/>
        <v>0.34286147531242783</v>
      </c>
      <c r="CF35" s="2">
        <f t="shared" si="94"/>
        <v>0.0027064566437546476</v>
      </c>
      <c r="CG35" s="2">
        <f t="shared" si="94"/>
        <v>0</v>
      </c>
      <c r="CH35" s="2">
        <f t="shared" si="94"/>
        <v>0.003033035105836917</v>
      </c>
      <c r="CI35" s="2">
        <f t="shared" si="94"/>
        <v>0.1526702568191674</v>
      </c>
      <c r="CJ35" s="2">
        <f t="shared" si="94"/>
        <v>0.046613485052303116</v>
      </c>
      <c r="CK35" s="2">
        <f t="shared" si="94"/>
        <v>0.0010616500992926556</v>
      </c>
      <c r="CL35" s="2">
        <f t="shared" si="80"/>
        <v>1.0000000000000002</v>
      </c>
      <c r="CN35" s="2">
        <f t="shared" si="81"/>
        <v>0.7620352797604993</v>
      </c>
      <c r="CO35" s="2">
        <f t="shared" si="82"/>
        <v>0.23266562107455668</v>
      </c>
      <c r="CP35" s="2">
        <f t="shared" si="83"/>
        <v>0.005299099164943977</v>
      </c>
      <c r="CR35" s="2">
        <f t="shared" si="84"/>
        <v>0.2837622103559566</v>
      </c>
      <c r="CS35" s="2">
        <f t="shared" si="85"/>
        <v>6.931923771055168</v>
      </c>
      <c r="CT35" s="2">
        <f t="shared" si="86"/>
        <v>-1.2165509460576358</v>
      </c>
      <c r="CU35" s="2">
        <f t="shared" si="87"/>
        <v>1.2088403722261987</v>
      </c>
      <c r="CV35" s="2">
        <f t="shared" si="88"/>
        <v>0.30379403703550983</v>
      </c>
      <c r="CW35" s="2">
        <f t="shared" si="89"/>
        <v>-0.7699961214145874</v>
      </c>
      <c r="CY35" s="2">
        <f t="shared" si="44"/>
        <v>1501.8697570354602</v>
      </c>
      <c r="CZ35" s="60">
        <f t="shared" si="58"/>
        <v>1202.7330631371187</v>
      </c>
      <c r="DA35" s="2">
        <f t="shared" si="59"/>
        <v>2.8000000000000003</v>
      </c>
      <c r="DC35" s="2">
        <f t="shared" si="45"/>
        <v>1203.72154850181</v>
      </c>
      <c r="DD35" s="2">
        <f t="shared" si="90"/>
        <v>0.7071980286647512</v>
      </c>
      <c r="DE35" s="2">
        <f t="shared" si="91"/>
        <v>1.0731860684871293</v>
      </c>
      <c r="DF35" s="2">
        <f t="shared" si="92"/>
        <v>0</v>
      </c>
      <c r="DG35" s="2">
        <f t="shared" si="93"/>
        <v>0.296250189740827</v>
      </c>
      <c r="DI35" s="2">
        <f t="shared" si="60"/>
        <v>1.0306198451852977</v>
      </c>
      <c r="DJ35" s="2">
        <f t="shared" si="61"/>
        <v>-0.20460359706874537</v>
      </c>
      <c r="DK35" s="2">
        <f t="shared" si="50"/>
        <v>0.3053213246868063</v>
      </c>
      <c r="DL35">
        <f t="shared" si="62"/>
        <v>-0.01034</v>
      </c>
      <c r="DM35">
        <f t="shared" si="63"/>
        <v>18.456550946057632</v>
      </c>
      <c r="DN35">
        <f t="shared" si="64"/>
        <v>-2639.3864021868153</v>
      </c>
      <c r="DO35">
        <f t="shared" si="65"/>
        <v>1628.1911575721535</v>
      </c>
      <c r="DP35" s="2">
        <f t="shared" si="66"/>
        <v>1355.0411575721537</v>
      </c>
    </row>
    <row r="36" spans="1:120" ht="12.75">
      <c r="A36" s="2" t="s">
        <v>126</v>
      </c>
      <c r="B36" s="3" t="s">
        <v>108</v>
      </c>
      <c r="C36" s="70">
        <v>0.28</v>
      </c>
      <c r="D36" s="69">
        <v>1180</v>
      </c>
      <c r="F36" s="3" t="s">
        <v>108</v>
      </c>
      <c r="G36" s="25">
        <v>47.81</v>
      </c>
      <c r="H36" s="25">
        <v>1.89</v>
      </c>
      <c r="I36" s="25">
        <v>14.86</v>
      </c>
      <c r="J36" s="25">
        <v>10.91</v>
      </c>
      <c r="K36" s="25">
        <v>0.16</v>
      </c>
      <c r="L36" s="25">
        <v>7.01</v>
      </c>
      <c r="M36" s="25">
        <v>11.58</v>
      </c>
      <c r="N36" s="25">
        <v>2.66</v>
      </c>
      <c r="O36" s="25">
        <v>0.56</v>
      </c>
      <c r="P36" s="25"/>
      <c r="Q36" s="25">
        <v>0.28</v>
      </c>
      <c r="R36" s="25">
        <v>0.08</v>
      </c>
      <c r="S36" s="2">
        <f t="shared" si="51"/>
        <v>97.72</v>
      </c>
      <c r="U36" s="25">
        <v>50.14</v>
      </c>
      <c r="V36" s="25">
        <v>0.08</v>
      </c>
      <c r="W36" s="25">
        <v>30.58</v>
      </c>
      <c r="X36" s="25">
        <v>0.35</v>
      </c>
      <c r="Y36" s="25">
        <v>0.01</v>
      </c>
      <c r="Z36" s="25">
        <v>0.25</v>
      </c>
      <c r="AA36" s="25">
        <v>14.7</v>
      </c>
      <c r="AB36" s="25">
        <v>3.05</v>
      </c>
      <c r="AC36" s="25">
        <v>0.11</v>
      </c>
      <c r="AD36" s="25"/>
      <c r="AF36" s="55">
        <f t="shared" si="52"/>
        <v>1212.2586123425563</v>
      </c>
      <c r="AG36" s="55">
        <f t="shared" si="0"/>
        <v>1209.4951881062616</v>
      </c>
      <c r="AH36" s="55">
        <f t="shared" si="1"/>
        <v>1192.6750774087832</v>
      </c>
      <c r="AI36" s="55">
        <f t="shared" si="67"/>
        <v>-0.8018443779845117</v>
      </c>
      <c r="AJ36" s="55">
        <f t="shared" si="2"/>
        <v>2.936234366688666</v>
      </c>
      <c r="AK36" s="55">
        <f t="shared" si="53"/>
        <v>5.674559821372674</v>
      </c>
      <c r="AL36" s="55">
        <f t="shared" si="3"/>
        <v>1187.840331269546</v>
      </c>
      <c r="AM36" s="56">
        <f t="shared" si="4"/>
        <v>0.8124575841623171</v>
      </c>
      <c r="AN36" s="56">
        <f t="shared" si="5"/>
        <v>0.2509556168501239</v>
      </c>
      <c r="AO36" s="56">
        <f t="shared" si="6"/>
        <v>0.00018199501340573405</v>
      </c>
      <c r="AP36" s="56">
        <f t="shared" si="7"/>
        <v>1.0635951960258467</v>
      </c>
      <c r="AQ36" s="56">
        <f t="shared" si="54"/>
        <v>0.33085643505188794</v>
      </c>
      <c r="AR36" s="3">
        <f t="shared" si="55"/>
        <v>1.1071094878110932</v>
      </c>
      <c r="AS36" s="55">
        <f t="shared" si="8"/>
        <v>-211.8682071565111</v>
      </c>
      <c r="AT36" s="55">
        <f t="shared" si="9"/>
        <v>-217.0349459907152</v>
      </c>
      <c r="AU36" s="54">
        <f t="shared" si="56"/>
        <v>1.1071094878110932</v>
      </c>
      <c r="AV36" s="4">
        <f t="shared" si="57"/>
        <v>0.7063741420408356</v>
      </c>
      <c r="AW36" s="2">
        <f t="shared" si="10"/>
        <v>0.7957723035952065</v>
      </c>
      <c r="AX36" s="2">
        <f t="shared" si="11"/>
        <v>0.023654568210262825</v>
      </c>
      <c r="AY36" s="2">
        <f t="shared" si="12"/>
        <v>0.29148685759121223</v>
      </c>
      <c r="AZ36" s="2">
        <f t="shared" si="13"/>
        <v>0.15184411969380657</v>
      </c>
      <c r="BA36" s="2">
        <f t="shared" si="14"/>
        <v>0.002255427121511136</v>
      </c>
      <c r="BB36" s="2">
        <f t="shared" si="15"/>
        <v>0.1739454094292804</v>
      </c>
      <c r="BC36" s="2">
        <f t="shared" si="16"/>
        <v>0.20649072753209702</v>
      </c>
      <c r="BD36" s="2">
        <f t="shared" si="17"/>
        <v>0.08583414004517587</v>
      </c>
      <c r="BE36" s="2">
        <f t="shared" si="18"/>
        <v>0.0118895966029724</v>
      </c>
      <c r="BF36" s="2">
        <f t="shared" si="19"/>
        <v>0.003945412401276623</v>
      </c>
      <c r="BG36" s="2">
        <f t="shared" si="73"/>
        <v>1.7471185622228016</v>
      </c>
      <c r="BH36" s="2">
        <f t="shared" si="74"/>
        <v>0.45547698982876783</v>
      </c>
      <c r="BI36" s="2">
        <f t="shared" si="74"/>
        <v>0.013539188880328703</v>
      </c>
      <c r="BJ36" s="2">
        <f t="shared" si="74"/>
        <v>0.16683862440357972</v>
      </c>
      <c r="BK36" s="2">
        <f t="shared" si="74"/>
        <v>0.08691117075684908</v>
      </c>
      <c r="BL36" s="2">
        <f t="shared" si="74"/>
        <v>0.0012909410788021337</v>
      </c>
      <c r="BM36" s="2">
        <f t="shared" si="75"/>
        <v>0.09956130808202013</v>
      </c>
      <c r="BN36" s="2">
        <f t="shared" si="75"/>
        <v>0.11818930437633589</v>
      </c>
      <c r="BO36" s="2">
        <f t="shared" si="75"/>
        <v>0.04912897264165742</v>
      </c>
      <c r="BP36" s="2">
        <f t="shared" si="75"/>
        <v>0.006805260306916811</v>
      </c>
      <c r="BQ36" s="2">
        <f t="shared" si="75"/>
        <v>0.0022582396447422574</v>
      </c>
      <c r="BR36" s="2">
        <f t="shared" si="76"/>
        <v>1</v>
      </c>
      <c r="BS36" s="2">
        <f t="shared" si="23"/>
        <v>0.8345539280958723</v>
      </c>
      <c r="BT36" s="2">
        <f t="shared" si="24"/>
        <v>0.0010012515644555694</v>
      </c>
      <c r="BU36" s="2">
        <f t="shared" si="25"/>
        <v>0.5998430757159671</v>
      </c>
      <c r="BV36" s="2">
        <f t="shared" si="26"/>
        <v>0.0048712595685455815</v>
      </c>
      <c r="BW36" s="2">
        <f t="shared" si="27"/>
        <v>0.000140964195094446</v>
      </c>
      <c r="BX36" s="2">
        <f t="shared" si="28"/>
        <v>0.00620347394540943</v>
      </c>
      <c r="BY36" s="2">
        <f t="shared" si="29"/>
        <v>0.26212553495007135</v>
      </c>
      <c r="BZ36" s="2">
        <f t="shared" si="30"/>
        <v>0.09841884478864149</v>
      </c>
      <c r="CA36" s="2">
        <f t="shared" si="31"/>
        <v>0.002335456475583864</v>
      </c>
      <c r="CB36" s="2">
        <f t="shared" si="77"/>
        <v>1.809493789299641</v>
      </c>
      <c r="CC36" s="2">
        <f t="shared" si="95"/>
        <v>0.4612085065066091</v>
      </c>
      <c r="CD36" s="2">
        <f t="shared" si="95"/>
        <v>0.0005533324128418815</v>
      </c>
      <c r="CE36" s="2">
        <f t="shared" si="95"/>
        <v>0.33149772564189595</v>
      </c>
      <c r="CF36" s="2">
        <f t="shared" si="94"/>
        <v>0.002692056528379126</v>
      </c>
      <c r="CG36" s="2">
        <f t="shared" si="94"/>
        <v>7.790255812317861E-05</v>
      </c>
      <c r="CH36" s="2">
        <f t="shared" si="94"/>
        <v>0.003428292477207377</v>
      </c>
      <c r="CI36" s="2">
        <f t="shared" si="94"/>
        <v>0.14486125152799018</v>
      </c>
      <c r="CJ36" s="2">
        <f t="shared" si="94"/>
        <v>0.05439026393493962</v>
      </c>
      <c r="CK36" s="2">
        <f t="shared" si="94"/>
        <v>0.0012906684120136136</v>
      </c>
      <c r="CL36" s="2">
        <f t="shared" si="80"/>
        <v>1</v>
      </c>
      <c r="CN36" s="2">
        <f t="shared" si="81"/>
        <v>0.7223480303691345</v>
      </c>
      <c r="CO36" s="2">
        <f t="shared" si="82"/>
        <v>0.27121607476288867</v>
      </c>
      <c r="CP36" s="2">
        <f t="shared" si="83"/>
        <v>0.006435894867976799</v>
      </c>
      <c r="CR36" s="2">
        <f t="shared" si="84"/>
        <v>0.2680932642343904</v>
      </c>
      <c r="CS36" s="2">
        <f t="shared" si="85"/>
        <v>6.964496114988407</v>
      </c>
      <c r="CT36" s="2">
        <f t="shared" si="86"/>
        <v>-1.106070728654618</v>
      </c>
      <c r="CU36" s="2">
        <f t="shared" si="87"/>
        <v>0.8995417048579284</v>
      </c>
      <c r="CV36" s="2">
        <f t="shared" si="88"/>
        <v>0.3059527242940072</v>
      </c>
      <c r="CW36" s="2">
        <f t="shared" si="89"/>
        <v>-0.7342695021497812</v>
      </c>
      <c r="CY36" s="2">
        <f t="shared" si="44"/>
        <v>1485.4086123425564</v>
      </c>
      <c r="CZ36" s="60">
        <f t="shared" si="58"/>
        <v>1192.6750774087832</v>
      </c>
      <c r="DA36" s="2">
        <f t="shared" si="59"/>
        <v>2.8000000000000003</v>
      </c>
      <c r="DC36" s="2">
        <f t="shared" si="45"/>
        <v>1193.0612893666596</v>
      </c>
      <c r="DD36" s="2">
        <f t="shared" si="90"/>
        <v>0.6713100481844992</v>
      </c>
      <c r="DE36" s="2">
        <f t="shared" si="91"/>
        <v>1.0226139199860114</v>
      </c>
      <c r="DF36" s="2">
        <f t="shared" si="92"/>
        <v>0</v>
      </c>
      <c r="DG36" s="2">
        <f t="shared" si="93"/>
        <v>0.33085643505188794</v>
      </c>
      <c r="DI36" s="2">
        <f t="shared" si="60"/>
        <v>1.1348261829334791</v>
      </c>
      <c r="DJ36" s="2">
        <f t="shared" si="61"/>
        <v>-0.21957803369050963</v>
      </c>
      <c r="DK36" s="2">
        <f t="shared" si="50"/>
        <v>0.37546454528891254</v>
      </c>
      <c r="DL36">
        <f t="shared" si="62"/>
        <v>-0.01034</v>
      </c>
      <c r="DM36">
        <f t="shared" si="63"/>
        <v>18.346070728654617</v>
      </c>
      <c r="DN36">
        <f t="shared" si="64"/>
        <v>-2832.5566346075743</v>
      </c>
      <c r="DO36">
        <f t="shared" si="65"/>
        <v>1603.4347299801561</v>
      </c>
      <c r="DP36" s="2">
        <f t="shared" si="66"/>
        <v>1330.284729980156</v>
      </c>
    </row>
    <row r="37" spans="1:120" ht="12.75">
      <c r="A37" s="2" t="s">
        <v>126</v>
      </c>
      <c r="B37" s="3" t="s">
        <v>109</v>
      </c>
      <c r="C37" s="70">
        <v>0.28</v>
      </c>
      <c r="D37" s="69">
        <v>1160</v>
      </c>
      <c r="F37" s="3" t="s">
        <v>109</v>
      </c>
      <c r="G37" s="25">
        <v>47.79</v>
      </c>
      <c r="H37" s="25">
        <v>2.85</v>
      </c>
      <c r="I37" s="25">
        <v>13.95</v>
      </c>
      <c r="J37" s="25">
        <v>12.55</v>
      </c>
      <c r="K37" s="25">
        <v>0.17</v>
      </c>
      <c r="L37" s="25">
        <v>5.73</v>
      </c>
      <c r="M37" s="25">
        <v>10.72</v>
      </c>
      <c r="N37" s="25">
        <v>3.07</v>
      </c>
      <c r="O37" s="25">
        <v>0.88</v>
      </c>
      <c r="P37" s="25"/>
      <c r="Q37" s="25">
        <v>0.52</v>
      </c>
      <c r="R37" s="25">
        <v>0.11</v>
      </c>
      <c r="S37" s="2">
        <f t="shared" si="51"/>
        <v>98.22999999999999</v>
      </c>
      <c r="U37" s="25">
        <v>51.45</v>
      </c>
      <c r="V37" s="25">
        <v>0.11</v>
      </c>
      <c r="W37" s="25">
        <v>30.05</v>
      </c>
      <c r="X37" s="25">
        <v>0.51</v>
      </c>
      <c r="Y37" s="25">
        <v>0</v>
      </c>
      <c r="Z37" s="25">
        <v>0.23</v>
      </c>
      <c r="AA37" s="25">
        <v>13.83</v>
      </c>
      <c r="AB37" s="25">
        <v>3.53</v>
      </c>
      <c r="AC37" s="25">
        <v>0.17</v>
      </c>
      <c r="AD37" s="25"/>
      <c r="AF37" s="55">
        <f t="shared" si="52"/>
        <v>1183.8158358393725</v>
      </c>
      <c r="AG37" s="55">
        <f t="shared" si="0"/>
        <v>1179.7203387606237</v>
      </c>
      <c r="AH37" s="55">
        <f t="shared" si="1"/>
        <v>1171.6809577906015</v>
      </c>
      <c r="AI37" s="55">
        <f t="shared" si="67"/>
        <v>-1.1411935778165487</v>
      </c>
      <c r="AJ37" s="55">
        <f t="shared" si="2"/>
        <v>2.607796064152099</v>
      </c>
      <c r="AK37" s="55">
        <f t="shared" si="53"/>
        <v>4.555870203254874</v>
      </c>
      <c r="AL37" s="55">
        <f t="shared" si="3"/>
        <v>1162.2714642997867</v>
      </c>
      <c r="AM37" s="56">
        <f t="shared" si="4"/>
        <v>0.7293495687212463</v>
      </c>
      <c r="AN37" s="56">
        <f t="shared" si="5"/>
        <v>0.2987504047216116</v>
      </c>
      <c r="AO37" s="56">
        <f t="shared" si="6"/>
        <v>8.135842906275706E-05</v>
      </c>
      <c r="AP37" s="56">
        <f t="shared" si="7"/>
        <v>1.0281813318719206</v>
      </c>
      <c r="AQ37" s="56">
        <f t="shared" si="54"/>
        <v>0.3066028624437562</v>
      </c>
      <c r="AR37" s="3">
        <f t="shared" si="55"/>
        <v>1.1219953701746228</v>
      </c>
      <c r="AS37" s="55">
        <f t="shared" si="8"/>
        <v>-201.76984471276705</v>
      </c>
      <c r="AT37" s="55">
        <f t="shared" si="9"/>
        <v>-208.68539460737563</v>
      </c>
      <c r="AU37" s="54">
        <f t="shared" si="56"/>
        <v>1.1219953701746228</v>
      </c>
      <c r="AV37" s="4">
        <f t="shared" si="57"/>
        <v>0.6586578648094368</v>
      </c>
      <c r="AW37" s="2">
        <f t="shared" si="10"/>
        <v>0.795439414114514</v>
      </c>
      <c r="AX37" s="2">
        <f t="shared" si="11"/>
        <v>0.03566958698372966</v>
      </c>
      <c r="AY37" s="2">
        <f t="shared" si="12"/>
        <v>0.2736367202824637</v>
      </c>
      <c r="AZ37" s="2">
        <f t="shared" si="13"/>
        <v>0.174669450243563</v>
      </c>
      <c r="BA37" s="2">
        <f t="shared" si="14"/>
        <v>0.0023963913166055823</v>
      </c>
      <c r="BB37" s="2">
        <f t="shared" si="15"/>
        <v>0.14218362282878413</v>
      </c>
      <c r="BC37" s="2">
        <f t="shared" si="16"/>
        <v>0.19115549215406563</v>
      </c>
      <c r="BD37" s="2">
        <f t="shared" si="17"/>
        <v>0.09906421426266537</v>
      </c>
      <c r="BE37" s="2">
        <f t="shared" si="18"/>
        <v>0.018683651804670912</v>
      </c>
      <c r="BF37" s="2">
        <f t="shared" si="19"/>
        <v>0.007327194459513728</v>
      </c>
      <c r="BG37" s="2">
        <f t="shared" si="73"/>
        <v>1.740225738450576</v>
      </c>
      <c r="BH37" s="2">
        <f t="shared" si="74"/>
        <v>0.45708978814595624</v>
      </c>
      <c r="BI37" s="2">
        <f t="shared" si="74"/>
        <v>0.02049710344790577</v>
      </c>
      <c r="BJ37" s="2">
        <f t="shared" si="74"/>
        <v>0.15724208315991142</v>
      </c>
      <c r="BK37" s="2">
        <f t="shared" si="74"/>
        <v>0.1003717198201432</v>
      </c>
      <c r="BL37" s="2">
        <f t="shared" si="74"/>
        <v>0.001377057736624002</v>
      </c>
      <c r="BM37" s="2">
        <f t="shared" si="75"/>
        <v>0.08170412589999874</v>
      </c>
      <c r="BN37" s="2">
        <f t="shared" si="75"/>
        <v>0.10984522750724425</v>
      </c>
      <c r="BO37" s="2">
        <f t="shared" si="75"/>
        <v>0.0569260711836546</v>
      </c>
      <c r="BP37" s="2">
        <f t="shared" si="75"/>
        <v>0.010736338046181326</v>
      </c>
      <c r="BQ37" s="2">
        <f t="shared" si="75"/>
        <v>0.004210485052380362</v>
      </c>
      <c r="BR37" s="2">
        <f t="shared" si="76"/>
        <v>0.9999999999999999</v>
      </c>
      <c r="BS37" s="2">
        <f t="shared" si="23"/>
        <v>0.8563581890812251</v>
      </c>
      <c r="BT37" s="2">
        <f t="shared" si="24"/>
        <v>0.001376720901126408</v>
      </c>
      <c r="BU37" s="2">
        <f t="shared" si="25"/>
        <v>0.5894468418987839</v>
      </c>
      <c r="BV37" s="2">
        <f t="shared" si="26"/>
        <v>0.00709812108559499</v>
      </c>
      <c r="BW37" s="2">
        <f t="shared" si="27"/>
        <v>0</v>
      </c>
      <c r="BX37" s="2">
        <f t="shared" si="28"/>
        <v>0.005707196029776675</v>
      </c>
      <c r="BY37" s="2">
        <f t="shared" si="29"/>
        <v>0.24661198288159772</v>
      </c>
      <c r="BZ37" s="2">
        <f t="shared" si="30"/>
        <v>0.11390771216521459</v>
      </c>
      <c r="CA37" s="2">
        <f t="shared" si="31"/>
        <v>0.0036093418259023355</v>
      </c>
      <c r="CB37" s="2">
        <f t="shared" si="77"/>
        <v>1.824116105869222</v>
      </c>
      <c r="CC37" s="2">
        <f t="shared" si="95"/>
        <v>0.46946473764791197</v>
      </c>
      <c r="CD37" s="2">
        <f t="shared" si="95"/>
        <v>0.0007547331536061283</v>
      </c>
      <c r="CE37" s="2">
        <f t="shared" si="95"/>
        <v>0.3231410763833493</v>
      </c>
      <c r="CF37" s="2">
        <f t="shared" si="94"/>
        <v>0.003891266056341636</v>
      </c>
      <c r="CG37" s="2">
        <f t="shared" si="94"/>
        <v>0</v>
      </c>
      <c r="CH37" s="2">
        <f t="shared" si="94"/>
        <v>0.003128746032894162</v>
      </c>
      <c r="CI37" s="2">
        <f t="shared" si="94"/>
        <v>0.13519533218752158</v>
      </c>
      <c r="CJ37" s="2">
        <f t="shared" si="94"/>
        <v>0.062445428664715204</v>
      </c>
      <c r="CK37" s="2">
        <f t="shared" si="94"/>
        <v>0.0019786798736599193</v>
      </c>
      <c r="CL37" s="2">
        <f t="shared" si="80"/>
        <v>1</v>
      </c>
      <c r="CN37" s="2">
        <f t="shared" si="81"/>
        <v>0.6772653590045984</v>
      </c>
      <c r="CO37" s="2">
        <f t="shared" si="82"/>
        <v>0.3128223806140247</v>
      </c>
      <c r="CP37" s="2">
        <f t="shared" si="83"/>
        <v>0.009912260381376936</v>
      </c>
      <c r="CR37" s="2">
        <f t="shared" si="84"/>
        <v>0.25595625183122345</v>
      </c>
      <c r="CS37" s="2">
        <f t="shared" si="85"/>
        <v>7.0846791361549615</v>
      </c>
      <c r="CT37" s="2">
        <f t="shared" si="86"/>
        <v>-1.1822019765026939</v>
      </c>
      <c r="CU37" s="2">
        <f t="shared" si="87"/>
        <v>1.0124025636584097</v>
      </c>
      <c r="CV37" s="2">
        <f t="shared" si="88"/>
        <v>0.2932981309640102</v>
      </c>
      <c r="CW37" s="2">
        <f t="shared" si="89"/>
        <v>-0.7437349489930781</v>
      </c>
      <c r="CY37" s="2">
        <f t="shared" si="44"/>
        <v>1456.9658358393726</v>
      </c>
      <c r="CZ37" s="60">
        <f t="shared" si="58"/>
        <v>1171.6809577906015</v>
      </c>
      <c r="DA37" s="2">
        <f t="shared" si="59"/>
        <v>2.8000000000000003</v>
      </c>
      <c r="DC37" s="2">
        <f t="shared" si="45"/>
        <v>1170.6751967436105</v>
      </c>
      <c r="DD37" s="2">
        <f t="shared" si="90"/>
        <v>0.5920516132510444</v>
      </c>
      <c r="DE37" s="2">
        <f t="shared" si="91"/>
        <v>1.0282506217405376</v>
      </c>
      <c r="DF37" s="2">
        <f t="shared" si="92"/>
        <v>0</v>
      </c>
      <c r="DG37" s="2">
        <f t="shared" si="93"/>
        <v>0.3066028624437562</v>
      </c>
      <c r="DI37" s="2">
        <f t="shared" si="60"/>
        <v>1.506477844232671</v>
      </c>
      <c r="DJ37" s="2">
        <f t="shared" si="61"/>
        <v>-0.24692854866245517</v>
      </c>
      <c r="DK37" s="2">
        <f t="shared" si="50"/>
        <v>0.46189041924983604</v>
      </c>
      <c r="DL37">
        <f t="shared" si="62"/>
        <v>-0.01034</v>
      </c>
      <c r="DM37">
        <f t="shared" si="63"/>
        <v>18.42220197650269</v>
      </c>
      <c r="DN37">
        <f t="shared" si="64"/>
        <v>-3185.3782777456718</v>
      </c>
      <c r="DO37">
        <f t="shared" si="65"/>
        <v>1587.6007565734722</v>
      </c>
      <c r="DP37" s="2">
        <f t="shared" si="66"/>
        <v>1314.450756573472</v>
      </c>
    </row>
    <row r="38" spans="1:120" ht="12.75">
      <c r="A38" s="2" t="s">
        <v>126</v>
      </c>
      <c r="B38" s="3" t="s">
        <v>110</v>
      </c>
      <c r="C38" s="70">
        <v>0.28</v>
      </c>
      <c r="D38" s="69">
        <v>1140</v>
      </c>
      <c r="F38" s="3" t="s">
        <v>110</v>
      </c>
      <c r="G38" s="25">
        <v>47.35</v>
      </c>
      <c r="H38" s="25">
        <v>3.42</v>
      </c>
      <c r="I38" s="25">
        <v>13.37</v>
      </c>
      <c r="J38" s="25">
        <v>13.41</v>
      </c>
      <c r="K38" s="25">
        <v>0.22</v>
      </c>
      <c r="L38" s="25">
        <v>5.18</v>
      </c>
      <c r="M38" s="25">
        <v>10.15</v>
      </c>
      <c r="N38" s="25">
        <v>3.12</v>
      </c>
      <c r="O38" s="25">
        <v>1.05</v>
      </c>
      <c r="P38" s="25"/>
      <c r="Q38" s="25">
        <v>0.74</v>
      </c>
      <c r="R38" s="25">
        <v>0.16</v>
      </c>
      <c r="S38" s="2">
        <f t="shared" si="51"/>
        <v>98.00999999999999</v>
      </c>
      <c r="U38" s="25">
        <v>52.17</v>
      </c>
      <c r="V38" s="25">
        <v>0.13</v>
      </c>
      <c r="W38" s="25">
        <v>29.58</v>
      </c>
      <c r="X38" s="25">
        <v>0.66</v>
      </c>
      <c r="Y38" s="25">
        <v>0.03</v>
      </c>
      <c r="Z38" s="25">
        <v>0.23</v>
      </c>
      <c r="AA38" s="25">
        <v>13.23</v>
      </c>
      <c r="AB38" s="25">
        <v>3.78</v>
      </c>
      <c r="AC38" s="25">
        <v>0.25</v>
      </c>
      <c r="AD38" s="25"/>
      <c r="AF38" s="55">
        <f t="shared" si="52"/>
        <v>1166.2758760037304</v>
      </c>
      <c r="AG38" s="55">
        <f t="shared" si="0"/>
        <v>1162.059290053995</v>
      </c>
      <c r="AH38" s="55">
        <f t="shared" si="1"/>
        <v>1158.0261442194874</v>
      </c>
      <c r="AI38" s="55">
        <f t="shared" si="67"/>
        <v>-1.2639533948512862</v>
      </c>
      <c r="AJ38" s="55">
        <f t="shared" si="2"/>
        <v>2.3924985034935022</v>
      </c>
      <c r="AK38" s="55">
        <f t="shared" si="53"/>
        <v>4.1543131725796165</v>
      </c>
      <c r="AL38" s="55">
        <f t="shared" si="3"/>
        <v>1147.3508629725675</v>
      </c>
      <c r="AM38" s="56">
        <f t="shared" si="4"/>
        <v>0.6882416876432811</v>
      </c>
      <c r="AN38" s="56">
        <f t="shared" si="5"/>
        <v>0.3305096579970219</v>
      </c>
      <c r="AO38" s="56">
        <f t="shared" si="6"/>
        <v>5.836237189063283E-05</v>
      </c>
      <c r="AP38" s="56">
        <f t="shared" si="7"/>
        <v>1.0188097080121936</v>
      </c>
      <c r="AQ38" s="56">
        <f t="shared" si="54"/>
        <v>0.3093035614404534</v>
      </c>
      <c r="AR38" s="3">
        <f t="shared" si="55"/>
        <v>1.0758620689655174</v>
      </c>
      <c r="AS38" s="55">
        <f t="shared" si="8"/>
        <v>-194.46319323018224</v>
      </c>
      <c r="AT38" s="55">
        <f t="shared" si="9"/>
        <v>-202.78933697818542</v>
      </c>
      <c r="AU38" s="54">
        <f t="shared" si="56"/>
        <v>1.0758620689655174</v>
      </c>
      <c r="AV38" s="4">
        <f t="shared" si="57"/>
        <v>0.642567659908796</v>
      </c>
      <c r="AW38" s="2">
        <f t="shared" si="10"/>
        <v>0.788115845539281</v>
      </c>
      <c r="AX38" s="2">
        <f t="shared" si="11"/>
        <v>0.04280350438047559</v>
      </c>
      <c r="AY38" s="2">
        <f t="shared" si="12"/>
        <v>0.26225970969007456</v>
      </c>
      <c r="AZ38" s="2">
        <f t="shared" si="13"/>
        <v>0.18663883089770356</v>
      </c>
      <c r="BA38" s="2">
        <f t="shared" si="14"/>
        <v>0.0031012122920778123</v>
      </c>
      <c r="BB38" s="2">
        <f t="shared" si="15"/>
        <v>0.12853598014888337</v>
      </c>
      <c r="BC38" s="2">
        <f t="shared" si="16"/>
        <v>0.1809914407988588</v>
      </c>
      <c r="BD38" s="2">
        <f t="shared" si="17"/>
        <v>0.10067763794772508</v>
      </c>
      <c r="BE38" s="2">
        <f t="shared" si="18"/>
        <v>0.02229299363057325</v>
      </c>
      <c r="BF38" s="2">
        <f t="shared" si="19"/>
        <v>0.010427161346231074</v>
      </c>
      <c r="BG38" s="2">
        <f t="shared" si="73"/>
        <v>1.7258443166718842</v>
      </c>
      <c r="BH38" s="2">
        <f t="shared" si="74"/>
        <v>0.45665523704889127</v>
      </c>
      <c r="BI38" s="2">
        <f t="shared" si="74"/>
        <v>0.02480148641855356</v>
      </c>
      <c r="BJ38" s="2">
        <f t="shared" si="74"/>
        <v>0.1519602360170098</v>
      </c>
      <c r="BK38" s="2">
        <f t="shared" si="74"/>
        <v>0.10814349190987146</v>
      </c>
      <c r="BL38" s="2">
        <f t="shared" si="74"/>
        <v>0.0017969247064290167</v>
      </c>
      <c r="BM38" s="2">
        <f t="shared" si="75"/>
        <v>0.07447715816960361</v>
      </c>
      <c r="BN38" s="2">
        <f t="shared" si="75"/>
        <v>0.10487124420810008</v>
      </c>
      <c r="BO38" s="2">
        <f t="shared" si="75"/>
        <v>0.05833529535379628</v>
      </c>
      <c r="BP38" s="2">
        <f t="shared" si="75"/>
        <v>0.012917152152844833</v>
      </c>
      <c r="BQ38" s="2">
        <f t="shared" si="75"/>
        <v>0.006041774014900022</v>
      </c>
      <c r="BR38" s="2">
        <f t="shared" si="76"/>
        <v>1</v>
      </c>
      <c r="BS38" s="2">
        <f t="shared" si="23"/>
        <v>0.8683422103861519</v>
      </c>
      <c r="BT38" s="2">
        <f t="shared" si="24"/>
        <v>0.0016270337922403002</v>
      </c>
      <c r="BU38" s="2">
        <f t="shared" si="25"/>
        <v>0.5802275402118477</v>
      </c>
      <c r="BV38" s="2">
        <f t="shared" si="26"/>
        <v>0.009185803757828811</v>
      </c>
      <c r="BW38" s="2">
        <f t="shared" si="27"/>
        <v>0.00042289258528333803</v>
      </c>
      <c r="BX38" s="2">
        <f t="shared" si="28"/>
        <v>0.005707196029776675</v>
      </c>
      <c r="BY38" s="2">
        <f t="shared" si="29"/>
        <v>0.2359129814550642</v>
      </c>
      <c r="BZ38" s="2">
        <f t="shared" si="30"/>
        <v>0.12197483059051308</v>
      </c>
      <c r="CA38" s="2">
        <f t="shared" si="31"/>
        <v>0.005307855626326964</v>
      </c>
      <c r="CB38" s="2">
        <f t="shared" si="77"/>
        <v>1.8287083444350332</v>
      </c>
      <c r="CC38" s="2">
        <f t="shared" si="95"/>
        <v>0.4748390923181467</v>
      </c>
      <c r="CD38" s="2">
        <f t="shared" si="95"/>
        <v>0.0008897174867668475</v>
      </c>
      <c r="CE38" s="2">
        <f t="shared" si="95"/>
        <v>0.3172881788271738</v>
      </c>
      <c r="CF38" s="2">
        <f t="shared" si="94"/>
        <v>0.005023110320342909</v>
      </c>
      <c r="CG38" s="2">
        <f t="shared" si="94"/>
        <v>0.00023125206737873108</v>
      </c>
      <c r="CH38" s="2">
        <f t="shared" si="94"/>
        <v>0.0031208891495160067</v>
      </c>
      <c r="CI38" s="2">
        <f t="shared" si="94"/>
        <v>0.1290052523536485</v>
      </c>
      <c r="CJ38" s="2">
        <f t="shared" si="94"/>
        <v>0.06669999125978525</v>
      </c>
      <c r="CK38" s="2">
        <f t="shared" si="94"/>
        <v>0.0029025162172411855</v>
      </c>
      <c r="CL38" s="2">
        <f t="shared" si="80"/>
        <v>0.9999999999999998</v>
      </c>
      <c r="CN38" s="2">
        <f t="shared" si="81"/>
        <v>0.6495478951257153</v>
      </c>
      <c r="CO38" s="2">
        <f t="shared" si="82"/>
        <v>0.3358377906112581</v>
      </c>
      <c r="CP38" s="2">
        <f t="shared" si="83"/>
        <v>0.014614314263026562</v>
      </c>
      <c r="CR38" s="2">
        <f t="shared" si="84"/>
        <v>0.24968184796799525</v>
      </c>
      <c r="CS38" s="2">
        <f t="shared" si="85"/>
        <v>7.159469172885105</v>
      </c>
      <c r="CT38" s="2">
        <f t="shared" si="86"/>
        <v>-1.1734320848392883</v>
      </c>
      <c r="CU38" s="2">
        <f t="shared" si="87"/>
        <v>1.1084524851668125</v>
      </c>
      <c r="CV38" s="2">
        <f t="shared" si="88"/>
        <v>0.28928881899400416</v>
      </c>
      <c r="CW38" s="2">
        <f t="shared" si="89"/>
        <v>-0.7526967100487901</v>
      </c>
      <c r="CY38" s="2">
        <f t="shared" si="44"/>
        <v>1439.4258760037305</v>
      </c>
      <c r="CZ38" s="60">
        <f t="shared" si="58"/>
        <v>1158.0261442194874</v>
      </c>
      <c r="DA38" s="2">
        <f t="shared" si="59"/>
        <v>2.8000000000000003</v>
      </c>
      <c r="DC38" s="2">
        <f t="shared" si="45"/>
        <v>1156.0832718984013</v>
      </c>
      <c r="DD38" s="2">
        <f t="shared" si="90"/>
        <v>0.5511362449128596</v>
      </c>
      <c r="DE38" s="2">
        <f t="shared" si="91"/>
        <v>1.0108630353695516</v>
      </c>
      <c r="DF38" s="2">
        <f t="shared" si="92"/>
        <v>0</v>
      </c>
      <c r="DG38" s="2">
        <f t="shared" si="93"/>
        <v>0.3093035614404534</v>
      </c>
      <c r="DI38" s="2">
        <f t="shared" si="60"/>
        <v>1.671604238646348</v>
      </c>
      <c r="DJ38" s="2">
        <f t="shared" si="61"/>
        <v>-0.2581590521775777</v>
      </c>
      <c r="DK38" s="2">
        <f t="shared" si="50"/>
        <v>0.5170331443322731</v>
      </c>
      <c r="DL38">
        <f t="shared" si="62"/>
        <v>-0.01034</v>
      </c>
      <c r="DM38">
        <f t="shared" si="63"/>
        <v>18.413432084839286</v>
      </c>
      <c r="DN38">
        <f t="shared" si="64"/>
        <v>-3330.251773090752</v>
      </c>
      <c r="DO38">
        <f t="shared" si="65"/>
        <v>1576.4987062589291</v>
      </c>
      <c r="DP38" s="2">
        <f t="shared" si="66"/>
        <v>1303.3487062589293</v>
      </c>
    </row>
    <row r="39" spans="1:120" ht="12.75">
      <c r="A39" s="2" t="s">
        <v>126</v>
      </c>
      <c r="B39" s="3" t="s">
        <v>111</v>
      </c>
      <c r="C39" s="70">
        <v>0.28</v>
      </c>
      <c r="D39" s="69">
        <v>1120</v>
      </c>
      <c r="F39" s="3" t="s">
        <v>111</v>
      </c>
      <c r="G39" s="25">
        <v>48.01</v>
      </c>
      <c r="H39" s="25">
        <v>4.17</v>
      </c>
      <c r="I39" s="25">
        <v>13.25</v>
      </c>
      <c r="J39" s="25">
        <v>13.39</v>
      </c>
      <c r="K39" s="25">
        <v>0.23</v>
      </c>
      <c r="L39" s="25">
        <v>4.81</v>
      </c>
      <c r="M39" s="25">
        <v>9.57</v>
      </c>
      <c r="N39" s="25">
        <v>3.47</v>
      </c>
      <c r="O39" s="25">
        <v>1.42</v>
      </c>
      <c r="P39" s="25"/>
      <c r="Q39" s="25">
        <v>0.86</v>
      </c>
      <c r="R39" s="25">
        <v>0.26</v>
      </c>
      <c r="S39" s="2">
        <f t="shared" si="51"/>
        <v>99.18</v>
      </c>
      <c r="U39" s="25">
        <v>53.35</v>
      </c>
      <c r="V39" s="25">
        <v>0.23</v>
      </c>
      <c r="W39" s="25">
        <v>28.83</v>
      </c>
      <c r="X39" s="25">
        <v>0.83</v>
      </c>
      <c r="Y39" s="25">
        <v>0.01</v>
      </c>
      <c r="Z39" s="25">
        <v>0.32</v>
      </c>
      <c r="AA39" s="25">
        <v>12.67</v>
      </c>
      <c r="AB39" s="25">
        <v>4.11</v>
      </c>
      <c r="AC39" s="25">
        <v>0.32</v>
      </c>
      <c r="AD39" s="25"/>
      <c r="AF39" s="55">
        <f t="shared" si="52"/>
        <v>1146.908731472703</v>
      </c>
      <c r="AG39" s="55">
        <f t="shared" si="0"/>
        <v>1143.3507455174563</v>
      </c>
      <c r="AH39" s="55">
        <f t="shared" si="1"/>
        <v>1140.7234466666832</v>
      </c>
      <c r="AI39" s="55">
        <f t="shared" si="67"/>
        <v>-1.1799607146728013</v>
      </c>
      <c r="AJ39" s="55">
        <f t="shared" si="2"/>
        <v>2.31736204828679</v>
      </c>
      <c r="AK39" s="55">
        <f t="shared" si="53"/>
        <v>4.274744686801082</v>
      </c>
      <c r="AL39" s="55">
        <f t="shared" si="3"/>
        <v>1130.8647592626726</v>
      </c>
      <c r="AM39" s="56">
        <f t="shared" si="4"/>
        <v>0.6327494860077589</v>
      </c>
      <c r="AN39" s="56">
        <f t="shared" si="5"/>
        <v>0.3652453009267637</v>
      </c>
      <c r="AO39" s="56">
        <f t="shared" si="6"/>
        <v>2.5049186888686818E-05</v>
      </c>
      <c r="AP39" s="56">
        <f t="shared" si="7"/>
        <v>0.9980198361214114</v>
      </c>
      <c r="AQ39" s="56">
        <f t="shared" si="54"/>
        <v>0.2909791930476363</v>
      </c>
      <c r="AR39" s="3">
        <f t="shared" si="55"/>
        <v>1.117769692901835</v>
      </c>
      <c r="AS39" s="55">
        <f t="shared" si="8"/>
        <v>-182.15608461921553</v>
      </c>
      <c r="AT39" s="55">
        <f t="shared" si="9"/>
        <v>-192.23948559604298</v>
      </c>
      <c r="AU39" s="54">
        <f t="shared" si="56"/>
        <v>1.1177696929018348</v>
      </c>
      <c r="AV39" s="4">
        <f t="shared" si="57"/>
        <v>0.6038095827550395</v>
      </c>
      <c r="AW39" s="2">
        <f t="shared" si="10"/>
        <v>0.7991011984021305</v>
      </c>
      <c r="AX39" s="2">
        <f t="shared" si="11"/>
        <v>0.052190237797246554</v>
      </c>
      <c r="AY39" s="2">
        <f t="shared" si="12"/>
        <v>0.25990584542958023</v>
      </c>
      <c r="AZ39" s="2">
        <f t="shared" si="13"/>
        <v>0.1863604732080724</v>
      </c>
      <c r="BA39" s="2">
        <f t="shared" si="14"/>
        <v>0.0032421764871722585</v>
      </c>
      <c r="BB39" s="2">
        <f t="shared" si="15"/>
        <v>0.11935483870967742</v>
      </c>
      <c r="BC39" s="2">
        <f t="shared" si="16"/>
        <v>0.1706490727532097</v>
      </c>
      <c r="BD39" s="2">
        <f t="shared" si="17"/>
        <v>0.11197160374314297</v>
      </c>
      <c r="BE39" s="2">
        <f t="shared" si="18"/>
        <v>0.030148619957537152</v>
      </c>
      <c r="BF39" s="2">
        <f t="shared" si="19"/>
        <v>0.012118052375349625</v>
      </c>
      <c r="BG39" s="2">
        <f t="shared" si="73"/>
        <v>1.7450421188631187</v>
      </c>
      <c r="BH39" s="2">
        <f t="shared" si="74"/>
        <v>0.457926596592831</v>
      </c>
      <c r="BI39" s="2">
        <f t="shared" si="74"/>
        <v>0.029907723849810622</v>
      </c>
      <c r="BJ39" s="2">
        <f t="shared" si="74"/>
        <v>0.1489395829591247</v>
      </c>
      <c r="BK39" s="2">
        <f t="shared" si="74"/>
        <v>0.10679425510341538</v>
      </c>
      <c r="BL39" s="2">
        <f t="shared" si="74"/>
        <v>0.0018579359501560404</v>
      </c>
      <c r="BM39" s="2">
        <f t="shared" si="75"/>
        <v>0.06839653749299539</v>
      </c>
      <c r="BN39" s="2">
        <f t="shared" si="75"/>
        <v>0.09779080453621729</v>
      </c>
      <c r="BO39" s="2">
        <f t="shared" si="75"/>
        <v>0.06416555940557561</v>
      </c>
      <c r="BP39" s="2">
        <f t="shared" si="75"/>
        <v>0.017276729101059603</v>
      </c>
      <c r="BQ39" s="2">
        <f t="shared" si="75"/>
        <v>0.006944275008814367</v>
      </c>
      <c r="BR39" s="2">
        <f t="shared" si="76"/>
        <v>0.9999999999999999</v>
      </c>
      <c r="BS39" s="2">
        <f t="shared" si="23"/>
        <v>0.887982689747004</v>
      </c>
      <c r="BT39" s="2">
        <f t="shared" si="24"/>
        <v>0.0028785982478097623</v>
      </c>
      <c r="BU39" s="2">
        <f t="shared" si="25"/>
        <v>0.5655158885837583</v>
      </c>
      <c r="BV39" s="2">
        <f t="shared" si="26"/>
        <v>0.011551844119693807</v>
      </c>
      <c r="BW39" s="2">
        <f t="shared" si="27"/>
        <v>0.000140964195094446</v>
      </c>
      <c r="BX39" s="2">
        <f t="shared" si="28"/>
        <v>0.00794044665012407</v>
      </c>
      <c r="BY39" s="2">
        <f t="shared" si="29"/>
        <v>0.22592724679029957</v>
      </c>
      <c r="BZ39" s="2">
        <f t="shared" si="30"/>
        <v>0.1326234269119071</v>
      </c>
      <c r="CA39" s="2">
        <f t="shared" si="31"/>
        <v>0.006794055201698514</v>
      </c>
      <c r="CB39" s="2">
        <f t="shared" si="77"/>
        <v>1.8413551604473894</v>
      </c>
      <c r="CC39" s="2">
        <f t="shared" si="95"/>
        <v>0.48224411499802844</v>
      </c>
      <c r="CD39" s="2">
        <f t="shared" si="95"/>
        <v>0.001563304195541699</v>
      </c>
      <c r="CE39" s="2">
        <f t="shared" si="95"/>
        <v>0.30711939811022465</v>
      </c>
      <c r="CF39" s="2">
        <f t="shared" si="94"/>
        <v>0.006273555676726202</v>
      </c>
      <c r="CG39" s="2">
        <f t="shared" si="94"/>
        <v>7.655459311836196E-05</v>
      </c>
      <c r="CH39" s="2">
        <f t="shared" si="94"/>
        <v>0.00431228413762112</v>
      </c>
      <c r="CI39" s="2">
        <f t="shared" si="94"/>
        <v>0.12269618140120594</v>
      </c>
      <c r="CJ39" s="2">
        <f t="shared" si="94"/>
        <v>0.07202490305003621</v>
      </c>
      <c r="CK39" s="2">
        <f t="shared" si="94"/>
        <v>0.0036897038374974762</v>
      </c>
      <c r="CL39" s="2">
        <f t="shared" si="80"/>
        <v>1</v>
      </c>
      <c r="CN39" s="2">
        <f t="shared" si="81"/>
        <v>0.6183947075632343</v>
      </c>
      <c r="CO39" s="2">
        <f t="shared" si="82"/>
        <v>0.36300900606886927</v>
      </c>
      <c r="CP39" s="2">
        <f t="shared" si="83"/>
        <v>0.018596286367896397</v>
      </c>
      <c r="CR39" s="2">
        <f t="shared" si="84"/>
        <v>0.24542409509306576</v>
      </c>
      <c r="CS39" s="2">
        <f t="shared" si="85"/>
        <v>7.214818221336308</v>
      </c>
      <c r="CT39" s="2">
        <f t="shared" si="86"/>
        <v>-1.234503515921517</v>
      </c>
      <c r="CU39" s="2">
        <f t="shared" si="87"/>
        <v>0.9317354368932037</v>
      </c>
      <c r="CV39" s="2">
        <f t="shared" si="88"/>
        <v>0.2748395330827841</v>
      </c>
      <c r="CW39" s="2">
        <f t="shared" si="89"/>
        <v>-0.7770011252367719</v>
      </c>
      <c r="CY39" s="2">
        <f t="shared" si="44"/>
        <v>1420.0587314727031</v>
      </c>
      <c r="CZ39" s="60">
        <f t="shared" si="58"/>
        <v>1140.7234466666832</v>
      </c>
      <c r="DA39" s="2">
        <f t="shared" si="59"/>
        <v>2.8000000000000003</v>
      </c>
      <c r="DC39" s="2">
        <f t="shared" si="45"/>
        <v>1137.9374026228677</v>
      </c>
      <c r="DD39" s="2">
        <f t="shared" si="90"/>
        <v>0.5331132640187535</v>
      </c>
      <c r="DE39" s="2">
        <f t="shared" si="91"/>
        <v>1.0241551727974347</v>
      </c>
      <c r="DF39" s="2">
        <f t="shared" si="92"/>
        <v>0</v>
      </c>
      <c r="DG39" s="2">
        <f t="shared" si="93"/>
        <v>0.2909791930476363</v>
      </c>
      <c r="DI39" s="2">
        <f t="shared" si="60"/>
        <v>2.0173892420105632</v>
      </c>
      <c r="DJ39" s="2">
        <f t="shared" si="61"/>
        <v>-0.27536176850306465</v>
      </c>
      <c r="DK39" s="2">
        <f t="shared" si="50"/>
        <v>0.5870182937032163</v>
      </c>
      <c r="DL39">
        <f t="shared" si="62"/>
        <v>-0.01034</v>
      </c>
      <c r="DM39">
        <f t="shared" si="63"/>
        <v>18.474503515921516</v>
      </c>
      <c r="DN39">
        <f t="shared" si="64"/>
        <v>-3552.166813689534</v>
      </c>
      <c r="DO39">
        <f t="shared" si="65"/>
        <v>1567.5470397379838</v>
      </c>
      <c r="DP39" s="2">
        <f t="shared" si="66"/>
        <v>1294.397039737984</v>
      </c>
    </row>
    <row r="40" spans="1:120" ht="12.75">
      <c r="A40" s="2" t="s">
        <v>112</v>
      </c>
      <c r="B40" s="3" t="s">
        <v>113</v>
      </c>
      <c r="C40" s="25">
        <v>0.225</v>
      </c>
      <c r="D40" s="69">
        <v>875</v>
      </c>
      <c r="F40" s="3"/>
      <c r="G40" s="25">
        <v>64.3</v>
      </c>
      <c r="H40" s="25">
        <v>0.41</v>
      </c>
      <c r="I40" s="25">
        <v>16.5</v>
      </c>
      <c r="J40" s="25">
        <v>3.11</v>
      </c>
      <c r="K40" s="25">
        <v>0.03</v>
      </c>
      <c r="L40" s="25">
        <v>0.89</v>
      </c>
      <c r="M40" s="25">
        <v>3.64</v>
      </c>
      <c r="N40" s="25">
        <v>4.36</v>
      </c>
      <c r="O40" s="25">
        <v>1.25</v>
      </c>
      <c r="P40" s="25"/>
      <c r="Q40" s="25"/>
      <c r="R40" s="25">
        <v>5.51</v>
      </c>
      <c r="S40" s="2">
        <f t="shared" si="51"/>
        <v>94.49</v>
      </c>
      <c r="U40" s="25">
        <v>54.4</v>
      </c>
      <c r="V40" s="25"/>
      <c r="W40" s="25">
        <v>28.8</v>
      </c>
      <c r="X40" s="25">
        <v>0.16</v>
      </c>
      <c r="Y40" s="25"/>
      <c r="Z40" s="25">
        <v>0.06</v>
      </c>
      <c r="AA40" s="25">
        <v>11.05</v>
      </c>
      <c r="AB40" s="25">
        <v>4.84</v>
      </c>
      <c r="AC40" s="25">
        <v>0.11</v>
      </c>
      <c r="AD40" s="25"/>
      <c r="AF40" s="55">
        <f t="shared" si="52"/>
        <v>914.704328064519</v>
      </c>
      <c r="AG40" s="55">
        <f t="shared" si="0"/>
        <v>913.0564710416103</v>
      </c>
      <c r="AH40" s="55">
        <f t="shared" si="1"/>
        <v>937.8191338868049</v>
      </c>
      <c r="AI40" s="55">
        <f t="shared" si="67"/>
        <v>5.560899518636503</v>
      </c>
      <c r="AJ40" s="55">
        <f t="shared" si="2"/>
        <v>8.219383492030236</v>
      </c>
      <c r="AK40" s="55">
        <f t="shared" si="53"/>
        <v>0.21906972433301597</v>
      </c>
      <c r="AL40" s="55">
        <f t="shared" si="3"/>
        <v>938.7086822966629</v>
      </c>
      <c r="AM40" s="56">
        <f t="shared" si="4"/>
        <v>0.6379220659897928</v>
      </c>
      <c r="AN40" s="56">
        <f t="shared" si="5"/>
        <v>0.3958169506710144</v>
      </c>
      <c r="AO40" s="56">
        <f t="shared" si="6"/>
        <v>0.0011499132741067022</v>
      </c>
      <c r="AP40" s="56">
        <f t="shared" si="7"/>
        <v>1.0348889299349138</v>
      </c>
      <c r="AQ40" s="56">
        <f t="shared" si="54"/>
        <v>0.11058622729957741</v>
      </c>
      <c r="AR40" s="3">
        <f t="shared" si="55"/>
        <v>2.7346517119244407</v>
      </c>
      <c r="AS40" s="55">
        <f t="shared" si="8"/>
        <v>224.05583322595322</v>
      </c>
      <c r="AT40" s="55">
        <f t="shared" si="9"/>
        <v>278.086783379955</v>
      </c>
      <c r="AU40" s="54">
        <f t="shared" si="56"/>
        <v>2.7346517119244402</v>
      </c>
      <c r="AV40" s="4">
        <f t="shared" si="57"/>
        <v>0.3157002107959309</v>
      </c>
      <c r="AW40" s="2">
        <f t="shared" si="10"/>
        <v>1.0702396804260985</v>
      </c>
      <c r="AX40" s="2">
        <f t="shared" si="11"/>
        <v>0.0051314142678347925</v>
      </c>
      <c r="AY40" s="2">
        <f t="shared" si="12"/>
        <v>0.3236563358179679</v>
      </c>
      <c r="AZ40" s="2">
        <f t="shared" si="13"/>
        <v>0.043284620737647876</v>
      </c>
      <c r="BA40" s="2">
        <f t="shared" si="14"/>
        <v>0.00042289258528333803</v>
      </c>
      <c r="BB40" s="2">
        <f t="shared" si="15"/>
        <v>0.02208436724565757</v>
      </c>
      <c r="BC40" s="2">
        <f t="shared" si="16"/>
        <v>0.06490727532097004</v>
      </c>
      <c r="BD40" s="2">
        <f t="shared" si="17"/>
        <v>0.14069054533720557</v>
      </c>
      <c r="BE40" s="2">
        <f t="shared" si="18"/>
        <v>0.026539278131634817</v>
      </c>
      <c r="BF40" s="2">
        <f t="shared" si="19"/>
        <v>0</v>
      </c>
      <c r="BG40" s="2">
        <f t="shared" si="73"/>
        <v>1.6969564098703005</v>
      </c>
      <c r="BH40" s="2">
        <f aca="true" t="shared" si="96" ref="BH40:BQ43">AW40/$BG40</f>
        <v>0.6306818927116092</v>
      </c>
      <c r="BI40" s="2">
        <f t="shared" si="96"/>
        <v>0.003023892798888682</v>
      </c>
      <c r="BJ40" s="2">
        <f t="shared" si="96"/>
        <v>0.19072754841281112</v>
      </c>
      <c r="BK40" s="2">
        <f t="shared" si="96"/>
        <v>0.02550720836780725</v>
      </c>
      <c r="BL40" s="2">
        <f t="shared" si="96"/>
        <v>0.0002492065104463467</v>
      </c>
      <c r="BM40" s="2">
        <f t="shared" si="96"/>
        <v>0.0130141040260106</v>
      </c>
      <c r="BN40" s="2">
        <f t="shared" si="96"/>
        <v>0.038249229587418186</v>
      </c>
      <c r="BO40" s="2">
        <f t="shared" si="96"/>
        <v>0.08290757766014664</v>
      </c>
      <c r="BP40" s="2">
        <f t="shared" si="96"/>
        <v>0.01563933992486185</v>
      </c>
      <c r="BQ40" s="2">
        <f t="shared" si="96"/>
        <v>0</v>
      </c>
      <c r="BR40" s="2">
        <f t="shared" si="76"/>
        <v>1</v>
      </c>
      <c r="BS40" s="2">
        <f t="shared" si="23"/>
        <v>0.9054593874833555</v>
      </c>
      <c r="BT40" s="2">
        <f t="shared" si="24"/>
        <v>0</v>
      </c>
      <c r="BU40" s="2">
        <f t="shared" si="25"/>
        <v>0.5649274225186348</v>
      </c>
      <c r="BV40" s="2">
        <f t="shared" si="26"/>
        <v>0.0022268615170494086</v>
      </c>
      <c r="BW40" s="2">
        <f t="shared" si="27"/>
        <v>0</v>
      </c>
      <c r="BX40" s="2">
        <f t="shared" si="28"/>
        <v>0.001488833746898263</v>
      </c>
      <c r="BY40" s="2">
        <f t="shared" si="29"/>
        <v>0.1970399429386591</v>
      </c>
      <c r="BZ40" s="2">
        <f t="shared" si="30"/>
        <v>0.15617941271377864</v>
      </c>
      <c r="CA40" s="2">
        <f t="shared" si="31"/>
        <v>0.002335456475583864</v>
      </c>
      <c r="CB40" s="2">
        <f t="shared" si="77"/>
        <v>1.8296573173939596</v>
      </c>
      <c r="CC40" s="2">
        <f t="shared" si="95"/>
        <v>0.4948792207565025</v>
      </c>
      <c r="CD40" s="2">
        <f t="shared" si="95"/>
        <v>0</v>
      </c>
      <c r="CE40" s="2">
        <f t="shared" si="95"/>
        <v>0.3087613276803545</v>
      </c>
      <c r="CF40" s="2">
        <f t="shared" si="94"/>
        <v>0.001217092127514457</v>
      </c>
      <c r="CG40" s="2">
        <f t="shared" si="94"/>
        <v>0</v>
      </c>
      <c r="CH40" s="2">
        <f t="shared" si="94"/>
        <v>0.0008137227297944827</v>
      </c>
      <c r="CI40" s="2">
        <f t="shared" si="94"/>
        <v>0.10769226623229615</v>
      </c>
      <c r="CJ40" s="2">
        <f t="shared" si="94"/>
        <v>0.08535992572435916</v>
      </c>
      <c r="CK40" s="2">
        <f t="shared" si="94"/>
        <v>0.001276444749178677</v>
      </c>
      <c r="CL40" s="2">
        <f t="shared" si="80"/>
        <v>0.9999999999999998</v>
      </c>
      <c r="CN40" s="2">
        <f t="shared" si="81"/>
        <v>0.5541759982359981</v>
      </c>
      <c r="CO40" s="2">
        <f t="shared" si="82"/>
        <v>0.43925551669244306</v>
      </c>
      <c r="CP40" s="2">
        <f t="shared" si="83"/>
        <v>0.006568485071558883</v>
      </c>
      <c r="CR40" s="2">
        <f t="shared" si="84"/>
        <v>0.23219546655286286</v>
      </c>
      <c r="CS40" s="2">
        <f t="shared" si="85"/>
        <v>6.9090848899460395</v>
      </c>
      <c r="CT40" s="2">
        <f t="shared" si="86"/>
        <v>-2.201959724776644</v>
      </c>
      <c r="CU40" s="2">
        <f t="shared" si="87"/>
        <v>0.7631296891747054</v>
      </c>
      <c r="CV40" s="2">
        <f t="shared" si="88"/>
        <v>0.07701974849168237</v>
      </c>
      <c r="CW40" s="2">
        <f t="shared" si="89"/>
        <v>-0.7618680680239895</v>
      </c>
      <c r="CY40" s="2">
        <f t="shared" si="44"/>
        <v>1187.854328064519</v>
      </c>
      <c r="CZ40" s="60">
        <f t="shared" si="58"/>
        <v>937.8191338868049</v>
      </c>
      <c r="DA40" s="2">
        <f t="shared" si="59"/>
        <v>2.25</v>
      </c>
      <c r="DC40" s="2">
        <f t="shared" si="45"/>
        <v>934.7282349228111</v>
      </c>
      <c r="DD40" s="2">
        <f t="shared" si="90"/>
        <v>0.4763431126390998</v>
      </c>
      <c r="DE40" s="2">
        <f t="shared" si="91"/>
        <v>1.755386848931242</v>
      </c>
      <c r="DF40" s="2">
        <f t="shared" si="92"/>
        <v>0</v>
      </c>
      <c r="DG40" s="2">
        <f t="shared" si="93"/>
        <v>0.11058622729957741</v>
      </c>
      <c r="DI40" s="2">
        <f t="shared" si="60"/>
        <v>7.167512684283739</v>
      </c>
      <c r="DJ40" s="2">
        <f t="shared" si="61"/>
        <v>-0.4846126923715266</v>
      </c>
      <c r="DK40" s="2">
        <f t="shared" si="50"/>
        <v>0.7926281868768058</v>
      </c>
      <c r="DL40">
        <f t="shared" si="62"/>
        <v>-0.01034</v>
      </c>
      <c r="DM40">
        <f t="shared" si="63"/>
        <v>19.44195972477664</v>
      </c>
      <c r="DN40">
        <f t="shared" si="64"/>
        <v>-6251.503731592693</v>
      </c>
      <c r="DO40">
        <f t="shared" si="65"/>
        <v>1468.580920862196</v>
      </c>
      <c r="DP40" s="2">
        <f t="shared" si="66"/>
        <v>1195.4309208621962</v>
      </c>
    </row>
    <row r="41" spans="1:120" ht="12.75">
      <c r="A41" s="2" t="s">
        <v>112</v>
      </c>
      <c r="B41" s="3" t="s">
        <v>114</v>
      </c>
      <c r="C41" s="25">
        <v>0.18</v>
      </c>
      <c r="D41" s="69">
        <v>916</v>
      </c>
      <c r="F41" s="3"/>
      <c r="G41" s="25">
        <v>64</v>
      </c>
      <c r="H41" s="25">
        <v>0.54</v>
      </c>
      <c r="I41" s="25">
        <v>15.9</v>
      </c>
      <c r="J41" s="25">
        <v>3.3</v>
      </c>
      <c r="K41" s="25">
        <v>0.1</v>
      </c>
      <c r="L41" s="25">
        <v>1.49</v>
      </c>
      <c r="M41" s="25">
        <v>3.97</v>
      </c>
      <c r="N41" s="25">
        <v>4.7</v>
      </c>
      <c r="O41" s="25">
        <v>1.14</v>
      </c>
      <c r="P41" s="25"/>
      <c r="Q41" s="25"/>
      <c r="R41" s="25">
        <v>4.86</v>
      </c>
      <c r="S41" s="2">
        <f t="shared" si="51"/>
        <v>95.14</v>
      </c>
      <c r="U41" s="25">
        <v>53</v>
      </c>
      <c r="V41" s="25"/>
      <c r="W41" s="25">
        <v>29.6</v>
      </c>
      <c r="X41" s="25">
        <v>0.28</v>
      </c>
      <c r="Y41" s="25"/>
      <c r="Z41" s="25">
        <v>0.03</v>
      </c>
      <c r="AA41" s="25">
        <v>12.67</v>
      </c>
      <c r="AB41" s="25">
        <v>4.45</v>
      </c>
      <c r="AC41" s="25">
        <v>0.08</v>
      </c>
      <c r="AD41" s="25"/>
      <c r="AF41" s="55">
        <f t="shared" si="52"/>
        <v>934.3952858924773</v>
      </c>
      <c r="AG41" s="55">
        <f t="shared" si="0"/>
        <v>926.357625532428</v>
      </c>
      <c r="AH41" s="55">
        <f t="shared" si="1"/>
        <v>961.3673556360251</v>
      </c>
      <c r="AI41" s="55">
        <f t="shared" si="67"/>
        <v>4.94361017437263</v>
      </c>
      <c r="AJ41" s="55">
        <f t="shared" si="2"/>
        <v>6.770364372261543</v>
      </c>
      <c r="AK41" s="55">
        <f t="shared" si="53"/>
        <v>-0.48184673840228687</v>
      </c>
      <c r="AL41" s="55">
        <f t="shared" si="3"/>
        <v>960.203235303515</v>
      </c>
      <c r="AM41" s="56">
        <f t="shared" si="4"/>
        <v>0.575674300321844</v>
      </c>
      <c r="AN41" s="56">
        <f t="shared" si="5"/>
        <v>0.4672884627908926</v>
      </c>
      <c r="AO41" s="56">
        <f t="shared" si="6"/>
        <v>0.0011613298365785046</v>
      </c>
      <c r="AP41" s="56">
        <f t="shared" si="7"/>
        <v>1.044124092949315</v>
      </c>
      <c r="AQ41" s="56">
        <f t="shared" si="54"/>
        <v>0.08686069263118293</v>
      </c>
      <c r="AR41" s="3">
        <f t="shared" si="55"/>
        <v>3.3707299125463446</v>
      </c>
      <c r="AS41" s="55">
        <f t="shared" si="8"/>
        <v>167.08967155228015</v>
      </c>
      <c r="AT41" s="55">
        <f t="shared" si="9"/>
        <v>198.24580293736096</v>
      </c>
      <c r="AU41" s="54">
        <f t="shared" si="56"/>
        <v>3.3707299125463446</v>
      </c>
      <c r="AV41" s="4">
        <f t="shared" si="57"/>
        <v>0.31823149286496366</v>
      </c>
      <c r="AW41" s="2">
        <f t="shared" si="10"/>
        <v>1.0652463382157125</v>
      </c>
      <c r="AX41" s="2">
        <f t="shared" si="11"/>
        <v>0.006758448060075094</v>
      </c>
      <c r="AY41" s="2">
        <f t="shared" si="12"/>
        <v>0.3118870145154963</v>
      </c>
      <c r="AZ41" s="2">
        <f t="shared" si="13"/>
        <v>0.04592901878914405</v>
      </c>
      <c r="BA41" s="2">
        <f t="shared" si="14"/>
        <v>0.0014096419509444602</v>
      </c>
      <c r="BB41" s="2">
        <f t="shared" si="15"/>
        <v>0.0369727047146402</v>
      </c>
      <c r="BC41" s="2">
        <f t="shared" si="16"/>
        <v>0.07079172610556349</v>
      </c>
      <c r="BD41" s="2">
        <f t="shared" si="17"/>
        <v>0.1516618263956115</v>
      </c>
      <c r="BE41" s="2">
        <f t="shared" si="18"/>
        <v>0.024203821656050954</v>
      </c>
      <c r="BF41" s="2">
        <f t="shared" si="19"/>
        <v>0</v>
      </c>
      <c r="BG41" s="2">
        <f t="shared" si="73"/>
        <v>1.7148605404032384</v>
      </c>
      <c r="BH41" s="2">
        <f t="shared" si="96"/>
        <v>0.6211854043625183</v>
      </c>
      <c r="BI41" s="2">
        <f t="shared" si="96"/>
        <v>0.0039411065219833495</v>
      </c>
      <c r="BJ41" s="2">
        <f t="shared" si="96"/>
        <v>0.18187310697705952</v>
      </c>
      <c r="BK41" s="2">
        <f t="shared" si="96"/>
        <v>0.026782946896862024</v>
      </c>
      <c r="BL41" s="2">
        <f t="shared" si="96"/>
        <v>0.0008220155037289458</v>
      </c>
      <c r="BM41" s="2">
        <f t="shared" si="96"/>
        <v>0.021560181626166703</v>
      </c>
      <c r="BN41" s="2">
        <f t="shared" si="96"/>
        <v>0.04128133130226279</v>
      </c>
      <c r="BO41" s="2">
        <f t="shared" si="96"/>
        <v>0.08843974353736613</v>
      </c>
      <c r="BP41" s="2">
        <f t="shared" si="96"/>
        <v>0.014114163272052187</v>
      </c>
      <c r="BQ41" s="2">
        <f t="shared" si="96"/>
        <v>0</v>
      </c>
      <c r="BR41" s="2">
        <f t="shared" si="76"/>
        <v>0.9999999999999999</v>
      </c>
      <c r="BS41" s="2">
        <f t="shared" si="23"/>
        <v>0.8821571238348869</v>
      </c>
      <c r="BT41" s="2">
        <f t="shared" si="24"/>
        <v>0</v>
      </c>
      <c r="BU41" s="2">
        <f t="shared" si="25"/>
        <v>0.5806198509219302</v>
      </c>
      <c r="BV41" s="2">
        <f t="shared" si="26"/>
        <v>0.0038970076548364655</v>
      </c>
      <c r="BW41" s="2">
        <f t="shared" si="27"/>
        <v>0</v>
      </c>
      <c r="BX41" s="2">
        <f t="shared" si="28"/>
        <v>0.0007444168734491315</v>
      </c>
      <c r="BY41" s="2">
        <f t="shared" si="29"/>
        <v>0.22592724679029957</v>
      </c>
      <c r="BZ41" s="2">
        <f t="shared" si="30"/>
        <v>0.143594707970313</v>
      </c>
      <c r="CA41" s="2">
        <f t="shared" si="31"/>
        <v>0.0016985138004246285</v>
      </c>
      <c r="CB41" s="2">
        <f t="shared" si="77"/>
        <v>1.8386388678461398</v>
      </c>
      <c r="CC41" s="2">
        <f t="shared" si="95"/>
        <v>0.47978814070665404</v>
      </c>
      <c r="CD41" s="2">
        <f t="shared" si="95"/>
        <v>0</v>
      </c>
      <c r="CE41" s="2">
        <f t="shared" si="95"/>
        <v>0.31578786953530097</v>
      </c>
      <c r="CF41" s="2">
        <f t="shared" si="94"/>
        <v>0.002119506838992035</v>
      </c>
      <c r="CG41" s="2">
        <f t="shared" si="94"/>
        <v>0</v>
      </c>
      <c r="CH41" s="2">
        <f t="shared" si="94"/>
        <v>0.00040487389147884884</v>
      </c>
      <c r="CI41" s="2">
        <f t="shared" si="94"/>
        <v>0.12287744523477871</v>
      </c>
      <c r="CJ41" s="2">
        <f t="shared" si="94"/>
        <v>0.07809837509772977</v>
      </c>
      <c r="CK41" s="2">
        <f t="shared" si="94"/>
        <v>0.000923788695065682</v>
      </c>
      <c r="CL41" s="2">
        <f t="shared" si="80"/>
        <v>1</v>
      </c>
      <c r="CN41" s="2">
        <f t="shared" si="81"/>
        <v>0.6086066527151961</v>
      </c>
      <c r="CO41" s="2">
        <f t="shared" si="82"/>
        <v>0.3868178619754711</v>
      </c>
      <c r="CP41" s="2">
        <f t="shared" si="83"/>
        <v>0.004575485309332827</v>
      </c>
      <c r="CR41" s="2">
        <f t="shared" si="84"/>
        <v>0.22647553622671643</v>
      </c>
      <c r="CS41" s="2">
        <f t="shared" si="85"/>
        <v>7.051905264074242</v>
      </c>
      <c r="CT41" s="2">
        <f t="shared" si="86"/>
        <v>-2.4434496777973886</v>
      </c>
      <c r="CU41" s="2">
        <f t="shared" si="87"/>
        <v>4.214141414141415</v>
      </c>
      <c r="CV41" s="2">
        <f t="shared" si="88"/>
        <v>0.09044647532902046</v>
      </c>
      <c r="CW41" s="2">
        <f t="shared" si="89"/>
        <v>-0.7302246516618873</v>
      </c>
      <c r="CY41" s="2">
        <f t="shared" si="44"/>
        <v>1207.5452858924773</v>
      </c>
      <c r="CZ41" s="60">
        <f t="shared" si="58"/>
        <v>961.3673556360251</v>
      </c>
      <c r="DA41" s="2">
        <f t="shared" si="59"/>
        <v>1.7999999999999998</v>
      </c>
      <c r="DC41" s="2">
        <f t="shared" si="45"/>
        <v>958.3185649153477</v>
      </c>
      <c r="DD41" s="2">
        <f t="shared" si="90"/>
        <v>0.589357980265807</v>
      </c>
      <c r="DE41" s="2">
        <f t="shared" si="91"/>
        <v>1.9124651907831398</v>
      </c>
      <c r="DF41" s="2">
        <f t="shared" si="92"/>
        <v>0</v>
      </c>
      <c r="DG41" s="2">
        <f t="shared" si="93"/>
        <v>0.08686069263118293</v>
      </c>
      <c r="DI41" s="2">
        <f t="shared" si="60"/>
        <v>7.317227142721989</v>
      </c>
      <c r="DJ41" s="2">
        <f t="shared" si="61"/>
        <v>-0.48647070962056216</v>
      </c>
      <c r="DK41" s="2">
        <f t="shared" si="50"/>
        <v>0.6355794177565236</v>
      </c>
      <c r="DL41">
        <f t="shared" si="62"/>
        <v>-0.01034</v>
      </c>
      <c r="DM41">
        <f t="shared" si="63"/>
        <v>19.683449677797388</v>
      </c>
      <c r="DN41">
        <f t="shared" si="64"/>
        <v>-6275.472154105252</v>
      </c>
      <c r="DO41">
        <f t="shared" si="65"/>
        <v>1498.6489265601917</v>
      </c>
      <c r="DP41" s="2">
        <f t="shared" si="66"/>
        <v>1225.4989265601916</v>
      </c>
    </row>
    <row r="42" spans="1:120" ht="12.75">
      <c r="A42" s="2" t="s">
        <v>112</v>
      </c>
      <c r="B42" s="3" t="s">
        <v>115</v>
      </c>
      <c r="C42" s="25">
        <v>0.125</v>
      </c>
      <c r="D42" s="69">
        <v>890</v>
      </c>
      <c r="F42" s="3"/>
      <c r="G42" s="25">
        <v>66.2</v>
      </c>
      <c r="H42" s="25">
        <v>0.58</v>
      </c>
      <c r="I42" s="25">
        <v>14.9</v>
      </c>
      <c r="J42" s="25">
        <v>3.19</v>
      </c>
      <c r="K42" s="25">
        <v>0.06</v>
      </c>
      <c r="L42" s="25">
        <v>0.89</v>
      </c>
      <c r="M42" s="25">
        <v>3.11</v>
      </c>
      <c r="N42" s="25">
        <v>5.05</v>
      </c>
      <c r="O42" s="25">
        <v>1.38</v>
      </c>
      <c r="P42" s="25"/>
      <c r="Q42" s="25"/>
      <c r="R42" s="25">
        <v>4.64</v>
      </c>
      <c r="S42" s="2">
        <f t="shared" si="51"/>
        <v>95.36</v>
      </c>
      <c r="U42" s="25">
        <v>54.1</v>
      </c>
      <c r="V42" s="25"/>
      <c r="W42" s="25">
        <v>28.7</v>
      </c>
      <c r="X42" s="25">
        <v>0.24</v>
      </c>
      <c r="Y42" s="25"/>
      <c r="Z42" s="25">
        <v>0.02</v>
      </c>
      <c r="AA42" s="25">
        <v>11.46</v>
      </c>
      <c r="AB42" s="25">
        <v>4.97</v>
      </c>
      <c r="AC42" s="25">
        <v>0.11</v>
      </c>
      <c r="AD42" s="25"/>
      <c r="AF42" s="55">
        <f t="shared" si="52"/>
        <v>912.2948269872535</v>
      </c>
      <c r="AG42" s="55">
        <f t="shared" si="0"/>
        <v>906.0765134096531</v>
      </c>
      <c r="AH42" s="55">
        <f t="shared" si="1"/>
        <v>933.8412208516346</v>
      </c>
      <c r="AI42" s="55">
        <f t="shared" si="67"/>
        <v>4.677149851443123</v>
      </c>
      <c r="AJ42" s="55">
        <f t="shared" si="2"/>
        <v>6.813245239540121</v>
      </c>
      <c r="AK42" s="55">
        <f t="shared" si="53"/>
        <v>0.2186341264660312</v>
      </c>
      <c r="AL42" s="55">
        <f t="shared" si="3"/>
        <v>939.0354768331964</v>
      </c>
      <c r="AM42" s="56">
        <f t="shared" si="4"/>
        <v>0.5065258626377306</v>
      </c>
      <c r="AN42" s="56">
        <f t="shared" si="5"/>
        <v>0.5059420890054002</v>
      </c>
      <c r="AO42" s="56">
        <f t="shared" si="6"/>
        <v>0.0017047348369114317</v>
      </c>
      <c r="AP42" s="56">
        <f t="shared" si="7"/>
        <v>1.0141726864800422</v>
      </c>
      <c r="AQ42" s="56">
        <f t="shared" si="54"/>
        <v>0.07084336046788141</v>
      </c>
      <c r="AR42" s="3">
        <f t="shared" si="55"/>
        <v>3.744201543667149</v>
      </c>
      <c r="AS42" s="55">
        <f t="shared" si="8"/>
        <v>332.5413528342731</v>
      </c>
      <c r="AT42" s="55">
        <f t="shared" si="9"/>
        <v>363.40633827185604</v>
      </c>
      <c r="AU42" s="54">
        <f t="shared" si="56"/>
        <v>3.744201543667149</v>
      </c>
      <c r="AV42" s="4">
        <f t="shared" si="57"/>
        <v>0.2539073809700068</v>
      </c>
      <c r="AW42" s="2">
        <f t="shared" si="10"/>
        <v>1.1018641810918777</v>
      </c>
      <c r="AX42" s="2">
        <f t="shared" si="11"/>
        <v>0.007259073842302877</v>
      </c>
      <c r="AY42" s="2">
        <f t="shared" si="12"/>
        <v>0.292271479011377</v>
      </c>
      <c r="AZ42" s="2">
        <f t="shared" si="13"/>
        <v>0.04439805149617258</v>
      </c>
      <c r="BA42" s="2">
        <f t="shared" si="14"/>
        <v>0.0008457851705666761</v>
      </c>
      <c r="BB42" s="2">
        <f t="shared" si="15"/>
        <v>0.02208436724565757</v>
      </c>
      <c r="BC42" s="2">
        <f t="shared" si="16"/>
        <v>0.055456490727532094</v>
      </c>
      <c r="BD42" s="2">
        <f t="shared" si="17"/>
        <v>0.16295579219102937</v>
      </c>
      <c r="BE42" s="2">
        <f t="shared" si="18"/>
        <v>0.029299363057324838</v>
      </c>
      <c r="BF42" s="2">
        <f t="shared" si="19"/>
        <v>0</v>
      </c>
      <c r="BG42" s="2">
        <f t="shared" si="73"/>
        <v>1.7164345838338408</v>
      </c>
      <c r="BH42" s="2">
        <f t="shared" si="96"/>
        <v>0.6419494173968143</v>
      </c>
      <c r="BI42" s="2">
        <f t="shared" si="96"/>
        <v>0.004229158460609059</v>
      </c>
      <c r="BJ42" s="2">
        <f t="shared" si="96"/>
        <v>0.17027825107005085</v>
      </c>
      <c r="BK42" s="2">
        <f t="shared" si="96"/>
        <v>0.02586643960354421</v>
      </c>
      <c r="BL42" s="2">
        <f t="shared" si="96"/>
        <v>0.000492757008354798</v>
      </c>
      <c r="BM42" s="2">
        <f t="shared" si="96"/>
        <v>0.01286641941012967</v>
      </c>
      <c r="BN42" s="2">
        <f t="shared" si="96"/>
        <v>0.03230911987549451</v>
      </c>
      <c r="BO42" s="2">
        <f t="shared" si="96"/>
        <v>0.09493853929874224</v>
      </c>
      <c r="BP42" s="2">
        <f t="shared" si="96"/>
        <v>0.0170698978762602</v>
      </c>
      <c r="BQ42" s="2">
        <f t="shared" si="96"/>
        <v>0</v>
      </c>
      <c r="BR42" s="2">
        <f t="shared" si="76"/>
        <v>0.9999999999999998</v>
      </c>
      <c r="BS42" s="2">
        <f t="shared" si="23"/>
        <v>0.9004660452729695</v>
      </c>
      <c r="BT42" s="2">
        <f t="shared" si="24"/>
        <v>0</v>
      </c>
      <c r="BU42" s="2">
        <f t="shared" si="25"/>
        <v>0.5629658689682229</v>
      </c>
      <c r="BV42" s="2">
        <f t="shared" si="26"/>
        <v>0.003340292275574113</v>
      </c>
      <c r="BW42" s="2">
        <f t="shared" si="27"/>
        <v>0</v>
      </c>
      <c r="BX42" s="2">
        <f t="shared" si="28"/>
        <v>0.0004962779156327543</v>
      </c>
      <c r="BY42" s="2">
        <f t="shared" si="29"/>
        <v>0.20435092724679033</v>
      </c>
      <c r="BZ42" s="2">
        <f t="shared" si="30"/>
        <v>0.16037431429493385</v>
      </c>
      <c r="CA42" s="2">
        <f t="shared" si="31"/>
        <v>0.002335456475583864</v>
      </c>
      <c r="CB42" s="2">
        <f t="shared" si="77"/>
        <v>1.8343291824497074</v>
      </c>
      <c r="CC42" s="2">
        <f t="shared" si="95"/>
        <v>0.49089664706223357</v>
      </c>
      <c r="CD42" s="2">
        <f t="shared" si="95"/>
        <v>0</v>
      </c>
      <c r="CE42" s="2">
        <f t="shared" si="95"/>
        <v>0.3069055839892347</v>
      </c>
      <c r="CF42" s="2">
        <f t="shared" si="94"/>
        <v>0.0018209884613585136</v>
      </c>
      <c r="CG42" s="2">
        <f t="shared" si="94"/>
        <v>0</v>
      </c>
      <c r="CH42" s="2">
        <f t="shared" si="94"/>
        <v>0.0002705500846745434</v>
      </c>
      <c r="CI42" s="2">
        <f t="shared" si="94"/>
        <v>0.11140362874993028</v>
      </c>
      <c r="CJ42" s="2">
        <f t="shared" si="94"/>
        <v>0.08742940788891412</v>
      </c>
      <c r="CK42" s="2">
        <f t="shared" si="94"/>
        <v>0.001273193763654194</v>
      </c>
      <c r="CL42" s="2">
        <f t="shared" si="80"/>
        <v>0.9999999999999999</v>
      </c>
      <c r="CN42" s="2">
        <f t="shared" si="81"/>
        <v>0.556722439505508</v>
      </c>
      <c r="CO42" s="2">
        <f t="shared" si="82"/>
        <v>0.43691497117834094</v>
      </c>
      <c r="CP42" s="2">
        <f t="shared" si="83"/>
        <v>0.006362589316151024</v>
      </c>
      <c r="CR42" s="2">
        <f t="shared" si="84"/>
        <v>0.20964349982248523</v>
      </c>
      <c r="CS42" s="2">
        <f t="shared" si="85"/>
        <v>7.273851615948487</v>
      </c>
      <c r="CT42" s="2">
        <f t="shared" si="86"/>
        <v>-2.6472840297578215</v>
      </c>
      <c r="CU42" s="2">
        <f t="shared" si="87"/>
        <v>3.347962382445141</v>
      </c>
      <c r="CV42" s="2">
        <f t="shared" si="88"/>
        <v>0.07153473589752318</v>
      </c>
      <c r="CW42" s="2">
        <f t="shared" si="89"/>
        <v>-0.6829939547958749</v>
      </c>
      <c r="CY42" s="2">
        <f t="shared" si="44"/>
        <v>1185.4448269872535</v>
      </c>
      <c r="CZ42" s="60">
        <f t="shared" si="58"/>
        <v>933.8412208516346</v>
      </c>
      <c r="DA42" s="2">
        <f t="shared" si="59"/>
        <v>1.25</v>
      </c>
      <c r="DC42" s="2">
        <f t="shared" si="45"/>
        <v>931.0165185727154</v>
      </c>
      <c r="DD42" s="2">
        <f t="shared" si="90"/>
        <v>0.4700119234213167</v>
      </c>
      <c r="DE42" s="2">
        <f t="shared" si="91"/>
        <v>2.19262014904274</v>
      </c>
      <c r="DF42" s="2">
        <f t="shared" si="92"/>
        <v>0</v>
      </c>
      <c r="DG42" s="2">
        <f t="shared" si="93"/>
        <v>0.07084336046788141</v>
      </c>
      <c r="DI42" s="2">
        <f t="shared" si="60"/>
        <v>11.077940953260052</v>
      </c>
      <c r="DJ42" s="2">
        <f t="shared" si="61"/>
        <v>-0.5343005857500112</v>
      </c>
      <c r="DK42" s="2">
        <f t="shared" si="50"/>
        <v>0.7847985641937076</v>
      </c>
      <c r="DL42">
        <f t="shared" si="62"/>
        <v>-0.01034</v>
      </c>
      <c r="DM42">
        <f t="shared" si="63"/>
        <v>19.88728402975782</v>
      </c>
      <c r="DN42">
        <f t="shared" si="64"/>
        <v>-6892.477556175144</v>
      </c>
      <c r="DO42">
        <f t="shared" si="65"/>
        <v>1469.821508232654</v>
      </c>
      <c r="DP42" s="2">
        <f t="shared" si="66"/>
        <v>1196.671508232654</v>
      </c>
    </row>
    <row r="43" spans="1:120" ht="12.75">
      <c r="A43" s="2" t="s">
        <v>112</v>
      </c>
      <c r="B43" s="3" t="s">
        <v>116</v>
      </c>
      <c r="C43" s="25">
        <v>0.165</v>
      </c>
      <c r="D43" s="69">
        <v>923</v>
      </c>
      <c r="F43" s="3"/>
      <c r="G43" s="25">
        <v>65.5</v>
      </c>
      <c r="H43" s="25">
        <v>0.62</v>
      </c>
      <c r="I43" s="25">
        <v>16.1</v>
      </c>
      <c r="J43" s="25">
        <v>3.33</v>
      </c>
      <c r="K43" s="25">
        <v>0.03</v>
      </c>
      <c r="L43" s="25">
        <v>1.25</v>
      </c>
      <c r="M43" s="25">
        <v>3.81</v>
      </c>
      <c r="N43" s="25">
        <v>4.49</v>
      </c>
      <c r="O43" s="25">
        <v>1.3</v>
      </c>
      <c r="P43" s="25"/>
      <c r="Q43" s="25"/>
      <c r="R43" s="25">
        <v>3.57</v>
      </c>
      <c r="S43" s="2">
        <f t="shared" si="51"/>
        <v>96.42999999999999</v>
      </c>
      <c r="U43" s="25">
        <v>54.5</v>
      </c>
      <c r="V43" s="25"/>
      <c r="W43" s="25">
        <v>28.6</v>
      </c>
      <c r="X43" s="25">
        <v>0.26</v>
      </c>
      <c r="Y43" s="25"/>
      <c r="Z43" s="25">
        <v>0.03</v>
      </c>
      <c r="AA43" s="25">
        <v>11.38</v>
      </c>
      <c r="AB43" s="25">
        <v>4.95</v>
      </c>
      <c r="AC43" s="25">
        <v>0.12</v>
      </c>
      <c r="AD43" s="25"/>
      <c r="AF43" s="55">
        <f t="shared" si="52"/>
        <v>969.0550424804811</v>
      </c>
      <c r="AG43" s="55">
        <f t="shared" si="0"/>
        <v>963.9128331609478</v>
      </c>
      <c r="AH43" s="55">
        <f t="shared" si="1"/>
        <v>985.4162250395674</v>
      </c>
      <c r="AI43" s="55">
        <f t="shared" si="67"/>
        <v>4.25428071408948</v>
      </c>
      <c r="AJ43" s="55">
        <f t="shared" si="2"/>
        <v>6.509393655452186</v>
      </c>
      <c r="AK43" s="55">
        <f t="shared" si="53"/>
        <v>1.079767535946937</v>
      </c>
      <c r="AL43" s="55">
        <f t="shared" si="3"/>
        <v>985.6713808099199</v>
      </c>
      <c r="AM43" s="56">
        <f t="shared" si="4"/>
        <v>0.5767333149584956</v>
      </c>
      <c r="AN43" s="56">
        <f t="shared" si="5"/>
        <v>0.4872190605200153</v>
      </c>
      <c r="AO43" s="56">
        <f t="shared" si="6"/>
        <v>0.0014236929191956322</v>
      </c>
      <c r="AP43" s="56">
        <f t="shared" si="7"/>
        <v>1.0653760683977065</v>
      </c>
      <c r="AQ43" s="56">
        <f t="shared" si="54"/>
        <v>0.10691933291060203</v>
      </c>
      <c r="AR43" s="3">
        <f t="shared" si="55"/>
        <v>2.7093083061586998</v>
      </c>
      <c r="AS43" s="55">
        <f t="shared" si="8"/>
        <v>207.40296776573462</v>
      </c>
      <c r="AT43" s="55">
        <f t="shared" si="9"/>
        <v>239.6034226915557</v>
      </c>
      <c r="AU43" s="54">
        <f t="shared" si="56"/>
        <v>2.7093083061587</v>
      </c>
      <c r="AV43" s="4">
        <f t="shared" si="57"/>
        <v>0.3192244541409156</v>
      </c>
      <c r="AW43" s="2">
        <f t="shared" si="10"/>
        <v>1.0902130492676432</v>
      </c>
      <c r="AX43" s="2">
        <f t="shared" si="11"/>
        <v>0.0077596996245306625</v>
      </c>
      <c r="AY43" s="2">
        <f t="shared" si="12"/>
        <v>0.31581012161632016</v>
      </c>
      <c r="AZ43" s="2">
        <f t="shared" si="13"/>
        <v>0.04634655532359082</v>
      </c>
      <c r="BA43" s="2">
        <f t="shared" si="14"/>
        <v>0.00042289258528333803</v>
      </c>
      <c r="BB43" s="2">
        <f t="shared" si="15"/>
        <v>0.031017369727047148</v>
      </c>
      <c r="BC43" s="2">
        <f t="shared" si="16"/>
        <v>0.06793865905848788</v>
      </c>
      <c r="BD43" s="2">
        <f t="shared" si="17"/>
        <v>0.14488544691836078</v>
      </c>
      <c r="BE43" s="2">
        <f t="shared" si="18"/>
        <v>0.027600849256900213</v>
      </c>
      <c r="BF43" s="2">
        <f t="shared" si="19"/>
        <v>0</v>
      </c>
      <c r="BG43" s="2">
        <f t="shared" si="73"/>
        <v>1.7319946433781641</v>
      </c>
      <c r="BH43" s="2">
        <f t="shared" si="96"/>
        <v>0.6294552084417768</v>
      </c>
      <c r="BI43" s="2">
        <f t="shared" si="96"/>
        <v>0.004480209944180761</v>
      </c>
      <c r="BJ43" s="2">
        <f t="shared" si="96"/>
        <v>0.18233897132634844</v>
      </c>
      <c r="BK43" s="2">
        <f t="shared" si="96"/>
        <v>0.026759063892480815</v>
      </c>
      <c r="BL43" s="2">
        <f t="shared" si="96"/>
        <v>0.00024416506534830177</v>
      </c>
      <c r="BM43" s="2">
        <f t="shared" si="96"/>
        <v>0.017908467468784665</v>
      </c>
      <c r="BN43" s="2">
        <f t="shared" si="96"/>
        <v>0.039225675043646276</v>
      </c>
      <c r="BO43" s="2">
        <f t="shared" si="96"/>
        <v>0.08365236432589039</v>
      </c>
      <c r="BP43" s="2">
        <f t="shared" si="96"/>
        <v>0.015935874491543586</v>
      </c>
      <c r="BQ43" s="2">
        <f t="shared" si="96"/>
        <v>0</v>
      </c>
      <c r="BR43" s="2">
        <f t="shared" si="76"/>
        <v>1.0000000000000002</v>
      </c>
      <c r="BS43" s="2">
        <f t="shared" si="23"/>
        <v>0.9071238348868176</v>
      </c>
      <c r="BT43" s="2">
        <f t="shared" si="24"/>
        <v>0</v>
      </c>
      <c r="BU43" s="2">
        <f t="shared" si="25"/>
        <v>0.5610043154178109</v>
      </c>
      <c r="BV43" s="2">
        <f t="shared" si="26"/>
        <v>0.003618649965205289</v>
      </c>
      <c r="BW43" s="2">
        <f t="shared" si="27"/>
        <v>0</v>
      </c>
      <c r="BX43" s="2">
        <f t="shared" si="28"/>
        <v>0.0007444168734491315</v>
      </c>
      <c r="BY43" s="2">
        <f t="shared" si="29"/>
        <v>0.20292439372325252</v>
      </c>
      <c r="BZ43" s="2">
        <f t="shared" si="30"/>
        <v>0.15972894482091</v>
      </c>
      <c r="CA43" s="2">
        <f t="shared" si="31"/>
        <v>0.0025477707006369425</v>
      </c>
      <c r="CB43" s="2">
        <f t="shared" si="77"/>
        <v>1.8376923263880824</v>
      </c>
      <c r="CC43" s="2">
        <f t="shared" si="95"/>
        <v>0.4936211692572807</v>
      </c>
      <c r="CD43" s="2">
        <f t="shared" si="95"/>
        <v>0</v>
      </c>
      <c r="CE43" s="2">
        <f t="shared" si="95"/>
        <v>0.3052765184694679</v>
      </c>
      <c r="CF43" s="2">
        <f t="shared" si="94"/>
        <v>0.0019691272109285097</v>
      </c>
      <c r="CG43" s="2">
        <f t="shared" si="94"/>
        <v>0</v>
      </c>
      <c r="CH43" s="2">
        <f t="shared" si="94"/>
        <v>0.0004050824301542663</v>
      </c>
      <c r="CI43" s="2">
        <f t="shared" si="94"/>
        <v>0.11042348646146499</v>
      </c>
      <c r="CJ43" s="2">
        <f t="shared" si="94"/>
        <v>0.08691821940338154</v>
      </c>
      <c r="CK43" s="2">
        <f t="shared" si="94"/>
        <v>0.0013863967673220323</v>
      </c>
      <c r="CL43" s="2">
        <f t="shared" si="80"/>
        <v>0.9999999999999998</v>
      </c>
      <c r="CN43" s="2">
        <f t="shared" si="81"/>
        <v>0.5556510880891916</v>
      </c>
      <c r="CO43" s="2">
        <f t="shared" si="82"/>
        <v>0.4373725620691952</v>
      </c>
      <c r="CP43" s="2">
        <f t="shared" si="83"/>
        <v>0.006976349841613161</v>
      </c>
      <c r="CR43" s="2">
        <f t="shared" si="84"/>
        <v>0.224612316607678</v>
      </c>
      <c r="CS43" s="2">
        <f t="shared" si="85"/>
        <v>6.980385902995824</v>
      </c>
      <c r="CT43" s="2">
        <f t="shared" si="86"/>
        <v>-2.2356806268760185</v>
      </c>
      <c r="CU43" s="2">
        <f t="shared" si="87"/>
        <v>3.253253253253254</v>
      </c>
      <c r="CV43" s="2">
        <f t="shared" si="88"/>
        <v>0.08413737147026006</v>
      </c>
      <c r="CW43" s="2">
        <f t="shared" si="89"/>
        <v>-0.7360078983635635</v>
      </c>
      <c r="CY43" s="2">
        <f t="shared" si="44"/>
        <v>1242.205042480481</v>
      </c>
      <c r="CZ43" s="60">
        <f t="shared" si="58"/>
        <v>985.4162250395674</v>
      </c>
      <c r="DA43" s="2">
        <f t="shared" si="59"/>
        <v>1.6500000000000001</v>
      </c>
      <c r="DC43" s="2">
        <f t="shared" si="45"/>
        <v>981.724923189926</v>
      </c>
      <c r="DD43" s="2">
        <f t="shared" si="90"/>
        <v>0.5440429388380982</v>
      </c>
      <c r="DE43" s="2">
        <f t="shared" si="91"/>
        <v>1.740628203389174</v>
      </c>
      <c r="DF43" s="2">
        <f t="shared" si="92"/>
        <v>0</v>
      </c>
      <c r="DG43" s="2">
        <f t="shared" si="93"/>
        <v>0.10691933291060204</v>
      </c>
      <c r="DI43" s="2">
        <f t="shared" si="60"/>
        <v>7.361954434722611</v>
      </c>
      <c r="DJ43" s="2">
        <f t="shared" si="61"/>
        <v>-0.4915429263976725</v>
      </c>
      <c r="DK43" s="2">
        <f t="shared" si="50"/>
        <v>0.78713525707879</v>
      </c>
      <c r="DL43">
        <f t="shared" si="62"/>
        <v>-0.01034</v>
      </c>
      <c r="DM43">
        <f t="shared" si="63"/>
        <v>19.475680626876017</v>
      </c>
      <c r="DN43">
        <f t="shared" si="64"/>
        <v>-6340.903750529975</v>
      </c>
      <c r="DO43">
        <f t="shared" si="65"/>
        <v>1464.9077474822568</v>
      </c>
      <c r="DP43" s="2">
        <f t="shared" si="66"/>
        <v>1191.757747482257</v>
      </c>
    </row>
    <row r="44" spans="113:119" ht="12.75">
      <c r="DI44"/>
      <c r="DJ44"/>
      <c r="DL44"/>
      <c r="DM44"/>
      <c r="DN44"/>
      <c r="DO44"/>
    </row>
    <row r="45" spans="113:119" ht="12.75">
      <c r="DI45"/>
      <c r="DJ45"/>
      <c r="DK45"/>
      <c r="DL45"/>
      <c r="DM45"/>
      <c r="DN45"/>
      <c r="DO45"/>
    </row>
    <row r="46" spans="113:115" ht="12.75">
      <c r="DI46"/>
      <c r="DJ46"/>
      <c r="DK46"/>
    </row>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Keith Putirka</cp:lastModifiedBy>
  <dcterms:created xsi:type="dcterms:W3CDTF">2008-10-10T23:25:17Z</dcterms:created>
  <dcterms:modified xsi:type="dcterms:W3CDTF">2015-12-08T01:12:44Z</dcterms:modified>
  <cp:category/>
  <cp:version/>
  <cp:contentType/>
  <cp:contentStatus/>
</cp:coreProperties>
</file>