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6" yWindow="60" windowWidth="12780" windowHeight="14616"/>
  </bookViews>
  <sheets>
    <sheet name="Worksheet" sheetId="1" r:id="rId1"/>
    <sheet name="Calculations and Assumptions" sheetId="2" r:id="rId2"/>
  </sheets>
  <definedNames>
    <definedName name="AY">'Calculations and Assumptions'!$X$22:$X$26</definedName>
    <definedName name="_xlnm.Print_Area" localSheetId="0">Worksheet!$A$1:$M$14</definedName>
    <definedName name="Time">'Calculations and Assumptions'!$X$22:$X$26</definedName>
  </definedNames>
  <calcPr calcId="145621"/>
</workbook>
</file>

<file path=xl/calcChain.xml><?xml version="1.0" encoding="utf-8"?>
<calcChain xmlns="http://schemas.openxmlformats.org/spreadsheetml/2006/main">
  <c r="E7" i="1" l="1"/>
  <c r="E10" i="1"/>
  <c r="E4" i="1"/>
  <c r="Z25" i="2" l="1"/>
  <c r="Z24" i="2"/>
  <c r="AA15" i="2"/>
  <c r="AA14" i="2"/>
  <c r="AA13" i="2"/>
  <c r="AA12" i="2"/>
  <c r="Y15" i="2"/>
  <c r="Y14" i="2"/>
  <c r="Y13" i="2"/>
  <c r="Y12" i="2"/>
  <c r="Y16" i="2" l="1"/>
  <c r="U16" i="2"/>
  <c r="X16" i="2"/>
  <c r="V15" i="2"/>
  <c r="W15" i="2" s="1"/>
  <c r="V13" i="2" l="1"/>
  <c r="W13" i="2" s="1"/>
  <c r="V12" i="2"/>
  <c r="W12" i="2" s="1"/>
  <c r="Z11" i="2"/>
  <c r="AA11" i="2" s="1"/>
  <c r="V11" i="2"/>
  <c r="W11" i="2" s="1"/>
  <c r="Z10" i="2"/>
  <c r="AA10" i="2" s="1"/>
  <c r="V10" i="2"/>
  <c r="W10" i="2" s="1"/>
  <c r="Z9" i="2"/>
  <c r="AA9" i="2" s="1"/>
  <c r="V9" i="2"/>
  <c r="W9" i="2" s="1"/>
  <c r="Z8" i="2"/>
  <c r="AA8" i="2" s="1"/>
  <c r="V8" i="2"/>
  <c r="W8" i="2" s="1"/>
  <c r="Z7" i="2"/>
  <c r="AA7" i="2" s="1"/>
  <c r="V7" i="2"/>
  <c r="W7" i="2" s="1"/>
  <c r="Z6" i="2"/>
  <c r="AA6" i="2" s="1"/>
  <c r="V6" i="2"/>
  <c r="W6" i="2" s="1"/>
  <c r="AA5" i="2"/>
  <c r="Z5" i="2"/>
  <c r="V5" i="2"/>
  <c r="W5" i="2" s="1"/>
  <c r="AA4" i="2"/>
  <c r="Z4" i="2"/>
  <c r="V4" i="2"/>
  <c r="W4" i="2" s="1"/>
  <c r="AA3" i="2"/>
  <c r="Z3" i="2"/>
  <c r="V3" i="2"/>
  <c r="W3" i="2" s="1"/>
  <c r="V14" i="2"/>
  <c r="W14" i="2" s="1"/>
  <c r="S27" i="2"/>
  <c r="A17" i="2"/>
  <c r="A18" i="2" s="1"/>
  <c r="G16" i="2"/>
  <c r="H16" i="2" s="1"/>
  <c r="D16" i="2"/>
  <c r="J16" i="2" s="1"/>
  <c r="B16" i="2"/>
  <c r="G15" i="2"/>
  <c r="H15" i="2" s="1"/>
  <c r="D15" i="2"/>
  <c r="E15" i="2" s="1"/>
  <c r="B15" i="2"/>
  <c r="G14" i="2"/>
  <c r="H14" i="2" s="1"/>
  <c r="D14" i="2"/>
  <c r="J14" i="2" s="1"/>
  <c r="B14" i="2"/>
  <c r="G13" i="2"/>
  <c r="H13" i="2" s="1"/>
  <c r="D13" i="2"/>
  <c r="E13" i="2" s="1"/>
  <c r="B13" i="2"/>
  <c r="G12" i="2"/>
  <c r="H12" i="2" s="1"/>
  <c r="D12" i="2"/>
  <c r="J12" i="2" s="1"/>
  <c r="B12" i="2"/>
  <c r="G11" i="2"/>
  <c r="H11" i="2" s="1"/>
  <c r="D11" i="2"/>
  <c r="E11" i="2" s="1"/>
  <c r="B11" i="2"/>
  <c r="G10" i="2"/>
  <c r="H10" i="2" s="1"/>
  <c r="D10" i="2"/>
  <c r="J10" i="2" s="1"/>
  <c r="B10" i="2"/>
  <c r="G9" i="2"/>
  <c r="H9" i="2" s="1"/>
  <c r="D9" i="2"/>
  <c r="E9" i="2" s="1"/>
  <c r="B9" i="2"/>
  <c r="G8" i="2"/>
  <c r="H8" i="2" s="1"/>
  <c r="D8" i="2"/>
  <c r="J8" i="2" s="1"/>
  <c r="B8" i="2"/>
  <c r="G7" i="2"/>
  <c r="H7" i="2" s="1"/>
  <c r="D7" i="2"/>
  <c r="E7" i="2" s="1"/>
  <c r="B7" i="2"/>
  <c r="G6" i="2"/>
  <c r="H6" i="2" s="1"/>
  <c r="D6" i="2"/>
  <c r="J6" i="2" s="1"/>
  <c r="B6" i="2"/>
  <c r="G5" i="2"/>
  <c r="H5" i="2" s="1"/>
  <c r="D5" i="2"/>
  <c r="E5" i="2" s="1"/>
  <c r="B5" i="2"/>
  <c r="G4" i="2"/>
  <c r="H4" i="2" s="1"/>
  <c r="D4" i="2"/>
  <c r="J4" i="2" s="1"/>
  <c r="B4" i="2"/>
  <c r="G3" i="2"/>
  <c r="H3" i="2" s="1"/>
  <c r="D3" i="2"/>
  <c r="E3" i="2" s="1"/>
  <c r="B3" i="2"/>
  <c r="AA16" i="2" l="1"/>
  <c r="V16" i="2"/>
  <c r="Z16" i="2"/>
  <c r="E4" i="2"/>
  <c r="E6" i="2"/>
  <c r="E8" i="2"/>
  <c r="E10" i="2"/>
  <c r="E12" i="2"/>
  <c r="E14" i="2"/>
  <c r="M4" i="2"/>
  <c r="N4" i="2" s="1"/>
  <c r="K4" i="2"/>
  <c r="M6" i="2"/>
  <c r="N6" i="2" s="1"/>
  <c r="K6" i="2"/>
  <c r="M8" i="2"/>
  <c r="N8" i="2" s="1"/>
  <c r="K8" i="2"/>
  <c r="M10" i="2"/>
  <c r="N10" i="2" s="1"/>
  <c r="K10" i="2"/>
  <c r="M12" i="2"/>
  <c r="N12" i="2" s="1"/>
  <c r="K12" i="2"/>
  <c r="M14" i="2"/>
  <c r="N14" i="2" s="1"/>
  <c r="K14" i="2"/>
  <c r="M16" i="2"/>
  <c r="N16" i="2" s="1"/>
  <c r="K16" i="2"/>
  <c r="A19" i="2"/>
  <c r="G18" i="2"/>
  <c r="H18" i="2" s="1"/>
  <c r="D18" i="2"/>
  <c r="B18" i="2"/>
  <c r="J3" i="2"/>
  <c r="J5" i="2"/>
  <c r="J7" i="2"/>
  <c r="J9" i="2"/>
  <c r="J11" i="2"/>
  <c r="J13" i="2"/>
  <c r="J15" i="2"/>
  <c r="E16" i="2"/>
  <c r="B17" i="2"/>
  <c r="D17" i="2"/>
  <c r="G17" i="2"/>
  <c r="H17" i="2" s="1"/>
  <c r="X17" i="2" l="1"/>
  <c r="Y26" i="2"/>
  <c r="W16" i="2"/>
  <c r="K13" i="2"/>
  <c r="M13" i="2"/>
  <c r="N13" i="2" s="1"/>
  <c r="K9" i="2"/>
  <c r="M9" i="2"/>
  <c r="N9" i="2" s="1"/>
  <c r="K5" i="2"/>
  <c r="M5" i="2"/>
  <c r="N5" i="2" s="1"/>
  <c r="J18" i="2"/>
  <c r="E18" i="2"/>
  <c r="A20" i="2"/>
  <c r="G19" i="2"/>
  <c r="H19" i="2" s="1"/>
  <c r="D19" i="2"/>
  <c r="B19" i="2"/>
  <c r="J17" i="2"/>
  <c r="E17" i="2"/>
  <c r="K15" i="2"/>
  <c r="M15" i="2"/>
  <c r="N15" i="2" s="1"/>
  <c r="K11" i="2"/>
  <c r="M11" i="2"/>
  <c r="N11" i="2" s="1"/>
  <c r="K7" i="2"/>
  <c r="M7" i="2"/>
  <c r="N7" i="2" s="1"/>
  <c r="K3" i="2"/>
  <c r="M3" i="2"/>
  <c r="N3" i="2" s="1"/>
  <c r="Z26" i="2" l="1"/>
  <c r="Y27" i="2"/>
  <c r="M17" i="2"/>
  <c r="N17" i="2" s="1"/>
  <c r="K17" i="2"/>
  <c r="J19" i="2"/>
  <c r="E19" i="2"/>
  <c r="A21" i="2"/>
  <c r="G20" i="2"/>
  <c r="H20" i="2" s="1"/>
  <c r="D20" i="2"/>
  <c r="B20" i="2"/>
  <c r="M18" i="2"/>
  <c r="N18" i="2" s="1"/>
  <c r="K18" i="2"/>
  <c r="J20" i="2" l="1"/>
  <c r="E20" i="2"/>
  <c r="A22" i="2"/>
  <c r="G21" i="2"/>
  <c r="H21" i="2" s="1"/>
  <c r="D21" i="2"/>
  <c r="B21" i="2"/>
  <c r="M19" i="2"/>
  <c r="N19" i="2" s="1"/>
  <c r="K19" i="2"/>
  <c r="J21" i="2" l="1"/>
  <c r="E21" i="2"/>
  <c r="A23" i="2"/>
  <c r="G22" i="2"/>
  <c r="H22" i="2" s="1"/>
  <c r="D22" i="2"/>
  <c r="B22" i="2"/>
  <c r="M20" i="2"/>
  <c r="N20" i="2" s="1"/>
  <c r="K20" i="2"/>
  <c r="J22" i="2" l="1"/>
  <c r="E22" i="2"/>
  <c r="A24" i="2"/>
  <c r="G23" i="2"/>
  <c r="H23" i="2" s="1"/>
  <c r="D23" i="2"/>
  <c r="B23" i="2"/>
  <c r="M21" i="2"/>
  <c r="N21" i="2" s="1"/>
  <c r="K21" i="2"/>
  <c r="J23" i="2" l="1"/>
  <c r="E23" i="2"/>
  <c r="A25" i="2"/>
  <c r="G24" i="2"/>
  <c r="H24" i="2" s="1"/>
  <c r="D24" i="2"/>
  <c r="B24" i="2"/>
  <c r="M22" i="2"/>
  <c r="N22" i="2" s="1"/>
  <c r="K22" i="2"/>
  <c r="J24" i="2" l="1"/>
  <c r="E24" i="2"/>
  <c r="A26" i="2"/>
  <c r="G25" i="2"/>
  <c r="H25" i="2" s="1"/>
  <c r="D25" i="2"/>
  <c r="B25" i="2"/>
  <c r="M23" i="2"/>
  <c r="N23" i="2" s="1"/>
  <c r="K23" i="2"/>
  <c r="J25" i="2" l="1"/>
  <c r="E25" i="2"/>
  <c r="A27" i="2"/>
  <c r="G26" i="2"/>
  <c r="H26" i="2" s="1"/>
  <c r="D26" i="2"/>
  <c r="B26" i="2"/>
  <c r="M24" i="2"/>
  <c r="N24" i="2" s="1"/>
  <c r="K24" i="2"/>
  <c r="J26" i="2" l="1"/>
  <c r="E26" i="2"/>
  <c r="A28" i="2"/>
  <c r="G27" i="2"/>
  <c r="H27" i="2" s="1"/>
  <c r="D27" i="2"/>
  <c r="B27" i="2"/>
  <c r="M25" i="2"/>
  <c r="N25" i="2" s="1"/>
  <c r="K25" i="2"/>
  <c r="J27" i="2" l="1"/>
  <c r="E27" i="2"/>
  <c r="A29" i="2"/>
  <c r="G28" i="2"/>
  <c r="H28" i="2" s="1"/>
  <c r="D28" i="2"/>
  <c r="B28" i="2"/>
  <c r="M26" i="2"/>
  <c r="N26" i="2" s="1"/>
  <c r="K26" i="2"/>
  <c r="J28" i="2" l="1"/>
  <c r="E28" i="2"/>
  <c r="A30" i="2"/>
  <c r="G29" i="2"/>
  <c r="H29" i="2" s="1"/>
  <c r="D29" i="2"/>
  <c r="B29" i="2"/>
  <c r="M27" i="2"/>
  <c r="N27" i="2" s="1"/>
  <c r="K27" i="2"/>
  <c r="J29" i="2" l="1"/>
  <c r="E29" i="2"/>
  <c r="A31" i="2"/>
  <c r="G30" i="2"/>
  <c r="H30" i="2" s="1"/>
  <c r="D30" i="2"/>
  <c r="B30" i="2"/>
  <c r="M28" i="2"/>
  <c r="N28" i="2" s="1"/>
  <c r="K28" i="2"/>
  <c r="J30" i="2" l="1"/>
  <c r="E30" i="2"/>
  <c r="A32" i="2"/>
  <c r="B32" i="2" s="1"/>
  <c r="G31" i="2"/>
  <c r="H31" i="2" s="1"/>
  <c r="D31" i="2"/>
  <c r="B31" i="2"/>
  <c r="M29" i="2"/>
  <c r="N29" i="2" s="1"/>
  <c r="K29" i="2"/>
  <c r="J31" i="2" l="1"/>
  <c r="E31" i="2"/>
  <c r="M30" i="2"/>
  <c r="N30" i="2" s="1"/>
  <c r="K30" i="2"/>
  <c r="M31" i="2" l="1"/>
  <c r="N31" i="2" s="1"/>
  <c r="K31" i="2"/>
</calcChain>
</file>

<file path=xl/sharedStrings.xml><?xml version="1.0" encoding="utf-8"?>
<sst xmlns="http://schemas.openxmlformats.org/spreadsheetml/2006/main" count="87" uniqueCount="72">
  <si>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</si>
  <si>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</si>
  <si>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</si>
  <si>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</si>
  <si>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</si>
  <si>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</si>
  <si>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</si>
  <si>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</si>
  <si>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</si>
  <si>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</si>
  <si>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</si>
  <si>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</si>
  <si>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Month</t>
  </si>
  <si>
    <t>Hours</t>
  </si>
  <si>
    <t>100% Total:</t>
  </si>
  <si>
    <t>WTU</t>
  </si>
  <si>
    <t>Assumptions</t>
  </si>
  <si>
    <t>Hours per Day</t>
  </si>
  <si>
    <t>Days in a semester</t>
  </si>
  <si>
    <t>Hours per semester</t>
  </si>
  <si>
    <t>Hours per unit</t>
  </si>
  <si>
    <t>Conversion</t>
  </si>
  <si>
    <t>12m Appointments add</t>
  </si>
  <si>
    <t>AY Days</t>
  </si>
  <si>
    <t>Extra 12m</t>
  </si>
  <si>
    <t>hours to calculation</t>
  </si>
  <si>
    <t>$$ to be paid</t>
  </si>
  <si>
    <t>AY Monthly Base</t>
  </si>
  <si>
    <t># of Full Days</t>
  </si>
  <si>
    <t>Date</t>
  </si>
  <si>
    <t>4/1-4/30</t>
  </si>
  <si>
    <t>7/1-7/31</t>
  </si>
  <si>
    <t>IY Days</t>
  </si>
  <si>
    <t>IY Hours</t>
  </si>
  <si>
    <t>IY WTU</t>
  </si>
  <si>
    <t>WTU for AY is Full-time</t>
  </si>
  <si>
    <t>WTU is for Semester is FT</t>
  </si>
  <si>
    <t>WTU for Summer is FT</t>
  </si>
  <si>
    <t>Assumptions:  15 wtu is FT for Fall and Spring; 12 wtu is FT for Summer.</t>
  </si>
  <si>
    <t>Fall</t>
  </si>
  <si>
    <t>Spring</t>
  </si>
  <si>
    <t>Summer</t>
  </si>
  <si>
    <t>AY-Total</t>
  </si>
  <si>
    <t>Sum Days</t>
  </si>
  <si>
    <t>For Special Consultant Pay</t>
  </si>
  <si>
    <t xml:space="preserve">or if Pay is on # Days   </t>
  </si>
  <si>
    <t xml:space="preserve">or if you know $$    </t>
  </si>
  <si>
    <t>For Foundation, Aux.,</t>
  </si>
  <si>
    <t>Non-AY Days</t>
  </si>
  <si>
    <t>Non-AY</t>
  </si>
  <si>
    <t>Hours Working</t>
  </si>
  <si>
    <t>Use when Hours</t>
  </si>
  <si>
    <t>are known</t>
  </si>
  <si>
    <t>25% WTU</t>
  </si>
  <si>
    <t>For FT Faculty:  Additional pay for a 25% overload is equivalent to 7.5 wtu during AY; 3 wtu during Summer; and 1.25 during Winter</t>
  </si>
  <si>
    <t>10/1-10/30</t>
  </si>
  <si>
    <t>Approx. # of WTU</t>
  </si>
  <si>
    <t>*Calculate approximate WTU</t>
  </si>
  <si>
    <t>2014-2015</t>
  </si>
  <si>
    <t>8/18-8/19</t>
  </si>
  <si>
    <t>9/1-9-30</t>
  </si>
  <si>
    <t>10/31-12/1</t>
  </si>
  <si>
    <t>12/2-12/31</t>
  </si>
  <si>
    <t>1/1-1/29</t>
  </si>
  <si>
    <t>1/30-2/27</t>
  </si>
  <si>
    <t>3/2-3/31</t>
  </si>
  <si>
    <t>5/1-5/29</t>
  </si>
  <si>
    <t>6/1-6/30</t>
  </si>
  <si>
    <t>8/1-8/14</t>
  </si>
  <si>
    <t>Based on 1/30th</t>
  </si>
  <si>
    <t>Based on approx 45 hours/unit.</t>
  </si>
  <si>
    <t>1/30th = Annual AY Salary (monthly * 12) divided by 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</si>
</sst>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00_);_(* \(#,##0.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6" borderId="11" applyNumberFormat="0" applyFont="0" applyAlignment="0" applyProtection="0"/>
  </cellStyleXfs>
  <cellXfs count="67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65" fontId="0" fillId="0" borderId="0" xfId="1" applyNumberFormat="1" applyFont="1"/>
    <xf numFmtId="0" fontId="2" fillId="0" borderId="0" xfId="0" applyFont="1" applyFill="1" applyBorder="1" applyAlignment="1">
      <alignment horizontal="left"/>
    </xf>
    <xf numFmtId="0" fontId="0" fillId="0" borderId="1" xfId="0" applyBorder="1"/>
    <xf numFmtId="0" fontId="0" fillId="2" borderId="0" xfId="0" applyFill="1"/>
    <xf numFmtId="165" fontId="0" fillId="2" borderId="0" xfId="1" applyNumberFormat="1" applyFont="1" applyFill="1"/>
    <xf numFmtId="2" fontId="0" fillId="0" borderId="0" xfId="0" applyNumberForma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2" fillId="2" borderId="0" xfId="0" applyFont="1" applyFill="1"/>
    <xf numFmtId="165" fontId="2" fillId="2" borderId="0" xfId="1" applyNumberFormat="1" applyFont="1" applyFill="1"/>
    <xf numFmtId="0" fontId="0" fillId="0" borderId="0" xfId="0" applyFill="1"/>
    <xf numFmtId="0" fontId="2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3" fontId="2" fillId="5" borderId="0" xfId="1" applyFont="1" applyFill="1"/>
    <xf numFmtId="43" fontId="0" fillId="5" borderId="0" xfId="0" applyNumberFormat="1" applyFill="1"/>
    <xf numFmtId="166" fontId="0" fillId="4" borderId="8" xfId="2" applyNumberFormat="1" applyFont="1" applyFill="1" applyBorder="1"/>
    <xf numFmtId="165" fontId="0" fillId="4" borderId="9" xfId="1" applyNumberFormat="1" applyFont="1" applyFill="1" applyBorder="1"/>
    <xf numFmtId="0" fontId="0" fillId="4" borderId="8" xfId="0" applyFont="1" applyFill="1" applyBorder="1" applyAlignment="1">
      <alignment horizontal="right"/>
    </xf>
    <xf numFmtId="0" fontId="0" fillId="4" borderId="5" xfId="0" applyFont="1" applyFill="1" applyBorder="1"/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67" fontId="0" fillId="3" borderId="10" xfId="0" applyNumberFormat="1" applyFill="1" applyBorder="1"/>
    <xf numFmtId="1" fontId="0" fillId="0" borderId="0" xfId="0" applyNumberFormat="1"/>
    <xf numFmtId="0" fontId="0" fillId="6" borderId="11" xfId="3" applyFont="1"/>
    <xf numFmtId="43" fontId="0" fillId="6" borderId="11" xfId="3" applyNumberFormat="1" applyFont="1"/>
    <xf numFmtId="1" fontId="0" fillId="6" borderId="11" xfId="3" applyNumberFormat="1" applyFont="1"/>
    <xf numFmtId="0" fontId="0" fillId="6" borderId="11" xfId="3" applyFont="1" applyAlignment="1">
      <alignment wrapText="1"/>
    </xf>
    <xf numFmtId="14" fontId="0" fillId="6" borderId="11" xfId="3" applyNumberFormat="1" applyFont="1" applyAlignment="1">
      <alignment horizontal="center"/>
    </xf>
    <xf numFmtId="0" fontId="0" fillId="6" borderId="11" xfId="3" applyFont="1" applyAlignment="1">
      <alignment horizontal="center"/>
    </xf>
    <xf numFmtId="43" fontId="2" fillId="0" borderId="1" xfId="1" applyFont="1" applyBorder="1"/>
    <xf numFmtId="0" fontId="2" fillId="0" borderId="1" xfId="0" applyFont="1" applyBorder="1"/>
    <xf numFmtId="0" fontId="0" fillId="0" borderId="11" xfId="3" applyFont="1" applyFill="1" applyAlignment="1">
      <alignment horizontal="right"/>
    </xf>
    <xf numFmtId="0" fontId="0" fillId="0" borderId="11" xfId="3" applyFont="1" applyFill="1"/>
    <xf numFmtId="43" fontId="0" fillId="0" borderId="11" xfId="3" applyNumberFormat="1" applyFont="1" applyFill="1"/>
    <xf numFmtId="0" fontId="0" fillId="0" borderId="11" xfId="3" applyFont="1" applyFill="1" applyAlignment="1"/>
    <xf numFmtId="0" fontId="2" fillId="0" borderId="11" xfId="3" applyFont="1" applyFill="1"/>
    <xf numFmtId="1" fontId="0" fillId="0" borderId="11" xfId="3" applyNumberFormat="1" applyFont="1" applyFill="1"/>
    <xf numFmtId="0" fontId="0" fillId="6" borderId="12" xfId="3" applyFont="1" applyBorder="1"/>
    <xf numFmtId="0" fontId="0" fillId="0" borderId="12" xfId="3" applyFont="1" applyFill="1" applyBorder="1" applyAlignment="1"/>
    <xf numFmtId="0" fontId="0" fillId="0" borderId="12" xfId="3" applyFont="1" applyFill="1" applyBorder="1"/>
    <xf numFmtId="0" fontId="7" fillId="0" borderId="0" xfId="0" applyFont="1"/>
    <xf numFmtId="0" fontId="7" fillId="0" borderId="0" xfId="0" applyFont="1" applyFill="1" applyBorder="1"/>
    <xf numFmtId="0" fontId="3" fillId="0" borderId="2" xfId="0" applyFont="1" applyFill="1" applyBorder="1" applyAlignment="1">
      <alignment horizontal="left" wrapText="1"/>
    </xf>
    <xf numFmtId="0" fontId="5" fillId="0" borderId="0" xfId="0" applyFont="1" applyFill="1"/>
    <xf numFmtId="0" fontId="3" fillId="0" borderId="4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 wrapText="1"/>
    </xf>
    <xf numFmtId="164" fontId="0" fillId="3" borderId="10" xfId="1" applyNumberFormat="1" applyFont="1" applyFill="1" applyBorder="1"/>
    <xf numFmtId="43" fontId="3" fillId="0" borderId="4" xfId="1" applyFont="1" applyFill="1" applyBorder="1" applyAlignment="1">
      <alignment horizontal="center"/>
    </xf>
    <xf numFmtId="43" fontId="3" fillId="0" borderId="5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13" xfId="0" applyFont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Note" xfId="3" builtinId="1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110" zoomScaleNormal="110" workbookViewId="0">
      <selection activeCell="G1" sqref="G1"/>
    </sheetView>
  </sheetViews>
  <sheetFormatPr defaultRowHeight="14.4" x14ac:dyDescent="0.3"/>
  <cols>
    <col min="1" max="1" width="11.109375" bestFit="1" customWidth="1"/>
    <col min="2" max="2" width="20.44140625" customWidth="1"/>
    <col min="3" max="3" width="10.5546875" customWidth="1"/>
    <col min="4" max="4" width="9.44140625" customWidth="1"/>
    <col min="5" max="5" width="9.109375" customWidth="1"/>
    <col min="6" max="6" width="7.33203125" customWidth="1"/>
    <col min="7" max="7" width="8.109375" customWidth="1"/>
    <col min="8" max="8" width="6.88671875" customWidth="1"/>
    <col min="9" max="9" width="8.33203125" customWidth="1"/>
    <col min="10" max="10" width="8.44140625" customWidth="1"/>
    <col min="11" max="11" width="8.33203125" customWidth="1"/>
    <col min="12" max="12" width="8.5546875" customWidth="1"/>
    <col min="13" max="13" width="8.44140625" customWidth="1"/>
    <col min="14" max="14" width="9.5546875" customWidth="1"/>
    <col min="15" max="15" width="9.88671875" customWidth="1"/>
    <col min="16" max="16" width="7.44140625" customWidth="1"/>
    <col min="17" max="17" width="5.5546875" customWidth="1"/>
    <col min="18" max="18" width="7" customWidth="1"/>
    <col min="19" max="19" width="3.44140625" customWidth="1"/>
    <col min="20" max="20" width="7" customWidth="1"/>
    <col min="21" max="21" width="6.6640625" customWidth="1"/>
    <col min="22" max="22" width="3.88671875" customWidth="1"/>
    <col min="23" max="23" width="6.5546875" customWidth="1"/>
    <col min="24" max="24" width="7.44140625" customWidth="1"/>
    <col min="25" max="25" width="3.109375" customWidth="1"/>
    <col min="26" max="26" width="6.33203125" customWidth="1"/>
    <col min="27" max="27" width="7.33203125" customWidth="1"/>
    <col min="28" max="28" width="4.33203125" customWidth="1"/>
    <col min="29" max="29" width="5.88671875" customWidth="1"/>
    <col min="30" max="30" width="7" customWidth="1"/>
  </cols>
  <sheetData>
    <row r="1" spans="1:10" ht="58.2" customHeight="1" x14ac:dyDescent="0.35">
      <c r="A1" s="16" t="s">
        <v>57</v>
      </c>
      <c r="C1" s="4"/>
      <c r="D1" s="4"/>
      <c r="E1" s="4"/>
      <c r="F1" s="4"/>
      <c r="G1" s="4"/>
    </row>
    <row r="2" spans="1:10" ht="18.600000000000001" thickBot="1" x14ac:dyDescent="0.4">
      <c r="A2" s="16"/>
      <c r="C2" s="4"/>
      <c r="D2" s="4"/>
      <c r="E2" s="4"/>
      <c r="F2" s="4"/>
      <c r="G2" s="4"/>
    </row>
    <row r="3" spans="1:10" ht="30" customHeight="1" x14ac:dyDescent="0.3">
      <c r="A3" s="66" t="s">
        <v>69</v>
      </c>
      <c r="B3" s="53" t="s">
        <v>47</v>
      </c>
      <c r="C3" s="29" t="s">
        <v>26</v>
      </c>
      <c r="D3" s="56" t="s">
        <v>27</v>
      </c>
      <c r="E3" s="30" t="s">
        <v>56</v>
      </c>
      <c r="F3" s="31"/>
      <c r="G3" s="31"/>
      <c r="H3" s="54"/>
    </row>
    <row r="4" spans="1:10" ht="15" thickBot="1" x14ac:dyDescent="0.35">
      <c r="A4" s="66"/>
      <c r="B4" s="55" t="s">
        <v>46</v>
      </c>
      <c r="C4" s="25"/>
      <c r="D4" s="26"/>
      <c r="E4" s="32">
        <f>IF(D4&gt;0,C4/(D4*12/30),0)</f>
        <v>0</v>
      </c>
      <c r="F4" s="31"/>
      <c r="G4" s="31"/>
    </row>
    <row r="5" spans="1:10" ht="14.25" customHeight="1" thickBot="1" x14ac:dyDescent="0.35">
      <c r="B5" s="3"/>
      <c r="E5" s="4"/>
      <c r="F5" s="4"/>
      <c r="G5" s="4"/>
      <c r="H5" s="7"/>
      <c r="I5" s="7"/>
      <c r="J5" s="7"/>
    </row>
    <row r="6" spans="1:10" ht="28.8" customHeight="1" x14ac:dyDescent="0.3">
      <c r="A6" s="66" t="s">
        <v>70</v>
      </c>
      <c r="B6" s="62" t="s">
        <v>44</v>
      </c>
      <c r="C6" s="63"/>
      <c r="D6" s="29" t="s">
        <v>28</v>
      </c>
      <c r="E6" s="30" t="s">
        <v>56</v>
      </c>
      <c r="F6" s="31"/>
      <c r="G6" s="31"/>
    </row>
    <row r="7" spans="1:10" ht="15" thickBot="1" x14ac:dyDescent="0.35">
      <c r="A7" s="66"/>
      <c r="B7" s="58" t="s">
        <v>45</v>
      </c>
      <c r="C7" s="59"/>
      <c r="D7" s="28"/>
      <c r="E7" s="57">
        <f>ROUND((D7*8)/'Calculations and Assumptions'!S28,1)</f>
        <v>0</v>
      </c>
      <c r="F7" s="31"/>
      <c r="G7" s="31"/>
    </row>
    <row r="8" spans="1:10" ht="15" thickBot="1" x14ac:dyDescent="0.35"/>
    <row r="9" spans="1:10" ht="28.8" customHeight="1" x14ac:dyDescent="0.3">
      <c r="A9" s="66" t="s">
        <v>70</v>
      </c>
      <c r="B9" s="60" t="s">
        <v>51</v>
      </c>
      <c r="C9" s="61"/>
      <c r="D9" s="29" t="s">
        <v>50</v>
      </c>
      <c r="E9" s="30" t="s">
        <v>56</v>
      </c>
    </row>
    <row r="10" spans="1:10" ht="15" thickBot="1" x14ac:dyDescent="0.35">
      <c r="A10" s="66"/>
      <c r="B10" s="64" t="s">
        <v>52</v>
      </c>
      <c r="C10" s="65"/>
      <c r="D10" s="27"/>
      <c r="E10" s="57">
        <f>ROUND(D10/'Calculations and Assumptions'!S28,1)</f>
        <v>0</v>
      </c>
    </row>
    <row r="13" spans="1:10" ht="15" x14ac:dyDescent="0.25">
      <c r="A13" s="51" t="s">
        <v>38</v>
      </c>
    </row>
    <row r="14" spans="1:10" ht="15" x14ac:dyDescent="0.25">
      <c r="A14" s="52" t="s">
        <v>54</v>
      </c>
    </row>
    <row r="15" spans="1:10" x14ac:dyDescent="0.3">
      <c r="A15" s="52" t="s">
        <v>71</v>
      </c>
    </row>
  </sheetData>
  <mergeCells count="7">
    <mergeCell ref="A3:A4"/>
    <mergeCell ref="A6:A7"/>
    <mergeCell ref="A9:A10"/>
    <mergeCell ref="B7:C7"/>
    <mergeCell ref="B9:C9"/>
    <mergeCell ref="B6:C6"/>
    <mergeCell ref="B10:C10"/>
  </mergeCells>
  <pageMargins left="0.81" right="0.25" top="0.61" bottom="0.49" header="0.3" footer="0.3"/>
  <pageSetup orientation="landscape" r:id="rId1"/>
  <headerFooter>
    <oddHeader>&amp;C&amp;"-,Bold"&amp;12Worksheet to calculate WTU equivalents for an Academic Year faculty member</oddHeader>
    <oddFooter>&amp;L&amp;8&amp;Z&amp;F&amp;R&amp;8Last updated: 5/1/2012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S28" sqref="S28"/>
    </sheetView>
  </sheetViews>
  <sheetFormatPr defaultRowHeight="14.4" x14ac:dyDescent="0.3"/>
  <cols>
    <col min="1" max="1" width="5.5546875" customWidth="1"/>
    <col min="2" max="2" width="7" bestFit="1" customWidth="1"/>
    <col min="3" max="3" width="5" customWidth="1"/>
    <col min="4" max="4" width="6" bestFit="1" customWidth="1"/>
    <col min="5" max="5" width="7" bestFit="1" customWidth="1"/>
    <col min="6" max="6" width="5" customWidth="1"/>
    <col min="7" max="7" width="5.5546875" customWidth="1"/>
    <col min="8" max="8" width="7" bestFit="1" customWidth="1"/>
    <col min="9" max="9" width="6.88671875" customWidth="1"/>
    <col min="10" max="10" width="5.109375" bestFit="1" customWidth="1"/>
    <col min="11" max="11" width="7" bestFit="1" customWidth="1"/>
    <col min="12" max="12" width="4.44140625" customWidth="1"/>
    <col min="13" max="13" width="6" bestFit="1" customWidth="1"/>
    <col min="14" max="14" width="7" bestFit="1" customWidth="1"/>
    <col min="19" max="19" width="10.5546875" customWidth="1"/>
    <col min="20" max="20" width="17.33203125" customWidth="1"/>
    <col min="21" max="21" width="6.88671875" customWidth="1"/>
    <col min="22" max="22" width="7.33203125" customWidth="1"/>
    <col min="23" max="23" width="7.44140625" customWidth="1"/>
    <col min="24" max="24" width="8.5546875" customWidth="1"/>
    <col min="25" max="25" width="7.88671875" customWidth="1"/>
  </cols>
  <sheetData>
    <row r="1" spans="1:27" x14ac:dyDescent="0.3">
      <c r="A1" s="9" t="s">
        <v>21</v>
      </c>
      <c r="S1" s="4" t="s">
        <v>58</v>
      </c>
      <c r="Z1" s="4" t="s">
        <v>24</v>
      </c>
      <c r="AA1" s="4" t="s">
        <v>24</v>
      </c>
    </row>
    <row r="2" spans="1:27" ht="30" customHeight="1" x14ac:dyDescent="0.3">
      <c r="A2" s="10" t="s">
        <v>15</v>
      </c>
      <c r="B2" s="10" t="s">
        <v>13</v>
      </c>
      <c r="D2" s="10" t="s">
        <v>15</v>
      </c>
      <c r="E2" s="10" t="s">
        <v>13</v>
      </c>
      <c r="G2" s="10" t="s">
        <v>15</v>
      </c>
      <c r="H2" s="10" t="s">
        <v>13</v>
      </c>
      <c r="J2" s="10" t="s">
        <v>15</v>
      </c>
      <c r="K2" s="10" t="s">
        <v>13</v>
      </c>
      <c r="M2" s="10" t="s">
        <v>15</v>
      </c>
      <c r="N2" s="10" t="s">
        <v>13</v>
      </c>
      <c r="S2" s="2" t="s">
        <v>12</v>
      </c>
      <c r="T2" s="14" t="s">
        <v>29</v>
      </c>
      <c r="U2" s="21" t="s">
        <v>32</v>
      </c>
      <c r="V2" s="21" t="s">
        <v>33</v>
      </c>
      <c r="W2" s="22" t="s">
        <v>34</v>
      </c>
      <c r="X2" s="22" t="s">
        <v>23</v>
      </c>
      <c r="Y2" s="22" t="s">
        <v>43</v>
      </c>
      <c r="Z2" s="22" t="s">
        <v>48</v>
      </c>
      <c r="AA2" s="20" t="s">
        <v>13</v>
      </c>
    </row>
    <row r="3" spans="1:27" x14ac:dyDescent="0.3">
      <c r="A3">
        <v>1</v>
      </c>
      <c r="B3" s="8">
        <f>A3*'Calculations and Assumptions'!$S$28</f>
        <v>45.33</v>
      </c>
      <c r="D3">
        <f t="shared" ref="D3:D31" si="0">+A3+0.25</f>
        <v>1.25</v>
      </c>
      <c r="E3" s="8">
        <f>D3*'Calculations and Assumptions'!$S$28</f>
        <v>56.662499999999994</v>
      </c>
      <c r="G3">
        <f t="shared" ref="G3:G31" si="1">+A3+0.3</f>
        <v>1.3</v>
      </c>
      <c r="H3" s="8">
        <f>G3*'Calculations and Assumptions'!$S$28</f>
        <v>58.929000000000002</v>
      </c>
      <c r="J3">
        <f t="shared" ref="J3:J31" si="2">+D3+0.25</f>
        <v>1.5</v>
      </c>
      <c r="K3" s="8">
        <f>J3*'Calculations and Assumptions'!$S$28</f>
        <v>67.995000000000005</v>
      </c>
      <c r="M3">
        <f t="shared" ref="M3:M31" si="3">+J3+0.25</f>
        <v>1.75</v>
      </c>
      <c r="N3" s="8">
        <f>M3*'Calculations and Assumptions'!$S$28</f>
        <v>79.327500000000001</v>
      </c>
      <c r="S3" s="42" t="s">
        <v>1</v>
      </c>
      <c r="T3" s="38" t="s">
        <v>59</v>
      </c>
      <c r="U3" s="34">
        <v>22</v>
      </c>
      <c r="V3" s="43">
        <f t="shared" ref="V3:V14" si="4">8*U3</f>
        <v>176</v>
      </c>
      <c r="W3" s="44">
        <f t="shared" ref="W3:W15" si="5">+V3/$S$28</f>
        <v>3.8826384292962719</v>
      </c>
      <c r="X3" s="35">
        <v>10</v>
      </c>
      <c r="Y3" s="44"/>
      <c r="Z3" s="44">
        <f>+U3-X3</f>
        <v>12</v>
      </c>
      <c r="AA3" s="44">
        <f>(U3-X3)*8</f>
        <v>96</v>
      </c>
    </row>
    <row r="4" spans="1:27" x14ac:dyDescent="0.3">
      <c r="A4">
        <v>2</v>
      </c>
      <c r="B4" s="8">
        <f>A4*'Calculations and Assumptions'!$S$28</f>
        <v>90.66</v>
      </c>
      <c r="D4">
        <f t="shared" si="0"/>
        <v>2.25</v>
      </c>
      <c r="E4" s="8">
        <f>D4*'Calculations and Assumptions'!$S$28</f>
        <v>101.99249999999999</v>
      </c>
      <c r="G4">
        <f t="shared" si="1"/>
        <v>2.2999999999999998</v>
      </c>
      <c r="H4" s="8">
        <f>G4*'Calculations and Assumptions'!$S$28</f>
        <v>104.25899999999999</v>
      </c>
      <c r="J4">
        <f t="shared" si="2"/>
        <v>2.5</v>
      </c>
      <c r="K4" s="8">
        <f>J4*'Calculations and Assumptions'!$S$28</f>
        <v>113.32499999999999</v>
      </c>
      <c r="M4">
        <f t="shared" si="3"/>
        <v>2.75</v>
      </c>
      <c r="N4" s="8">
        <f>M4*'Calculations and Assumptions'!$S$28</f>
        <v>124.6575</v>
      </c>
      <c r="S4" s="42" t="s">
        <v>2</v>
      </c>
      <c r="T4" s="39" t="s">
        <v>60</v>
      </c>
      <c r="U4" s="34">
        <v>22</v>
      </c>
      <c r="V4" s="43">
        <f t="shared" si="4"/>
        <v>176</v>
      </c>
      <c r="W4" s="44">
        <f t="shared" si="5"/>
        <v>3.8826384292962719</v>
      </c>
      <c r="X4" s="35">
        <v>21</v>
      </c>
      <c r="Y4" s="44"/>
      <c r="Z4" s="44">
        <f>+U4-X4</f>
        <v>1</v>
      </c>
      <c r="AA4" s="44">
        <f>(U4-X4)*8</f>
        <v>8</v>
      </c>
    </row>
    <row r="5" spans="1:27" x14ac:dyDescent="0.3">
      <c r="A5" s="11">
        <v>3</v>
      </c>
      <c r="B5" s="12">
        <f>A5*'Calculations and Assumptions'!$S$28</f>
        <v>135.99</v>
      </c>
      <c r="C5" s="11"/>
      <c r="D5" s="11">
        <f t="shared" si="0"/>
        <v>3.25</v>
      </c>
      <c r="E5" s="12">
        <f>D5*'Calculations and Assumptions'!$S$28</f>
        <v>147.32249999999999</v>
      </c>
      <c r="F5" s="11"/>
      <c r="G5" s="11">
        <f t="shared" si="1"/>
        <v>3.3</v>
      </c>
      <c r="H5" s="12">
        <f>G5*'Calculations and Assumptions'!$S$28</f>
        <v>149.589</v>
      </c>
      <c r="I5" s="11"/>
      <c r="J5" s="11">
        <f t="shared" si="2"/>
        <v>3.5</v>
      </c>
      <c r="K5" s="12">
        <f>J5*'Calculations and Assumptions'!$S$28</f>
        <v>158.655</v>
      </c>
      <c r="L5" s="11"/>
      <c r="M5" s="11">
        <f t="shared" si="3"/>
        <v>3.75</v>
      </c>
      <c r="N5" s="12">
        <f>M5*'Calculations and Assumptions'!$S$28</f>
        <v>169.98749999999998</v>
      </c>
      <c r="S5" s="42" t="s">
        <v>3</v>
      </c>
      <c r="T5" s="39" t="s">
        <v>55</v>
      </c>
      <c r="U5" s="34">
        <v>22</v>
      </c>
      <c r="V5" s="43">
        <f t="shared" si="4"/>
        <v>176</v>
      </c>
      <c r="W5" s="44">
        <f t="shared" si="5"/>
        <v>3.8826384292962719</v>
      </c>
      <c r="X5" s="35">
        <v>22</v>
      </c>
      <c r="Y5" s="44"/>
      <c r="Z5" s="44">
        <f>+U5-X5</f>
        <v>0</v>
      </c>
      <c r="AA5" s="44">
        <f>(U5-X5)*8</f>
        <v>0</v>
      </c>
    </row>
    <row r="6" spans="1:27" x14ac:dyDescent="0.3">
      <c r="A6">
        <v>4</v>
      </c>
      <c r="B6" s="8">
        <f>A6*'Calculations and Assumptions'!$S$28</f>
        <v>181.32</v>
      </c>
      <c r="D6">
        <f t="shared" si="0"/>
        <v>4.25</v>
      </c>
      <c r="E6" s="8">
        <f>D6*'Calculations and Assumptions'!$S$28</f>
        <v>192.6525</v>
      </c>
      <c r="G6">
        <f t="shared" si="1"/>
        <v>4.3</v>
      </c>
      <c r="H6" s="8">
        <f>G6*'Calculations and Assumptions'!$S$28</f>
        <v>194.91899999999998</v>
      </c>
      <c r="J6">
        <f t="shared" si="2"/>
        <v>4.5</v>
      </c>
      <c r="K6" s="8">
        <f>J6*'Calculations and Assumptions'!$S$28</f>
        <v>203.98499999999999</v>
      </c>
      <c r="M6">
        <f t="shared" si="3"/>
        <v>4.75</v>
      </c>
      <c r="N6" s="8">
        <f>M6*'Calculations and Assumptions'!$S$28</f>
        <v>215.3175</v>
      </c>
      <c r="S6" s="42" t="s">
        <v>4</v>
      </c>
      <c r="T6" s="39" t="s">
        <v>61</v>
      </c>
      <c r="U6" s="34">
        <v>22</v>
      </c>
      <c r="V6" s="43">
        <f t="shared" si="4"/>
        <v>176</v>
      </c>
      <c r="W6" s="44">
        <f t="shared" si="5"/>
        <v>3.8826384292962719</v>
      </c>
      <c r="X6" s="35">
        <v>18</v>
      </c>
      <c r="Y6" s="44"/>
      <c r="Z6" s="44">
        <f>+U6-X6</f>
        <v>4</v>
      </c>
      <c r="AA6" s="44">
        <f t="shared" ref="AA6:AA15" si="6">+Z6*8</f>
        <v>32</v>
      </c>
    </row>
    <row r="7" spans="1:27" x14ac:dyDescent="0.3">
      <c r="A7">
        <v>5</v>
      </c>
      <c r="B7" s="8">
        <f>A7*'Calculations and Assumptions'!$S$28</f>
        <v>226.64999999999998</v>
      </c>
      <c r="D7">
        <f t="shared" si="0"/>
        <v>5.25</v>
      </c>
      <c r="E7" s="8">
        <f>D7*'Calculations and Assumptions'!$S$28</f>
        <v>237.98249999999999</v>
      </c>
      <c r="G7">
        <f t="shared" si="1"/>
        <v>5.3</v>
      </c>
      <c r="H7" s="8">
        <f>G7*'Calculations and Assumptions'!$S$28</f>
        <v>240.249</v>
      </c>
      <c r="J7">
        <f t="shared" si="2"/>
        <v>5.5</v>
      </c>
      <c r="K7" s="8">
        <f>J7*'Calculations and Assumptions'!$S$28</f>
        <v>249.315</v>
      </c>
      <c r="M7">
        <f t="shared" si="3"/>
        <v>5.75</v>
      </c>
      <c r="N7" s="8">
        <f>M7*'Calculations and Assumptions'!$S$28</f>
        <v>260.64749999999998</v>
      </c>
      <c r="S7" s="42" t="s">
        <v>5</v>
      </c>
      <c r="T7" s="39" t="s">
        <v>62</v>
      </c>
      <c r="U7" s="34">
        <v>22</v>
      </c>
      <c r="V7" s="43">
        <f t="shared" si="4"/>
        <v>176</v>
      </c>
      <c r="W7" s="44">
        <f t="shared" si="5"/>
        <v>3.8826384292962719</v>
      </c>
      <c r="X7" s="35">
        <v>15</v>
      </c>
      <c r="Y7" s="44"/>
      <c r="Z7" s="44">
        <f>+U7-X7</f>
        <v>7</v>
      </c>
      <c r="AA7" s="44">
        <f t="shared" si="6"/>
        <v>56</v>
      </c>
    </row>
    <row r="8" spans="1:27" x14ac:dyDescent="0.3">
      <c r="A8" s="11">
        <v>6</v>
      </c>
      <c r="B8" s="12">
        <f>A8*'Calculations and Assumptions'!$S$28</f>
        <v>271.98</v>
      </c>
      <c r="C8" s="11"/>
      <c r="D8" s="11">
        <f t="shared" si="0"/>
        <v>6.25</v>
      </c>
      <c r="E8" s="12">
        <f>D8*'Calculations and Assumptions'!$S$28</f>
        <v>283.3125</v>
      </c>
      <c r="F8" s="11"/>
      <c r="G8" s="11">
        <f t="shared" si="1"/>
        <v>6.3</v>
      </c>
      <c r="H8" s="12">
        <f>G8*'Calculations and Assumptions'!$S$28</f>
        <v>285.57900000000001</v>
      </c>
      <c r="I8" s="11"/>
      <c r="J8" s="11">
        <f t="shared" si="2"/>
        <v>6.5</v>
      </c>
      <c r="K8" s="12">
        <f>J8*'Calculations and Assumptions'!$S$28</f>
        <v>294.64499999999998</v>
      </c>
      <c r="L8" s="11"/>
      <c r="M8" s="11">
        <f t="shared" si="3"/>
        <v>6.75</v>
      </c>
      <c r="N8" s="12">
        <f>M8*'Calculations and Assumptions'!$S$28</f>
        <v>305.97749999999996</v>
      </c>
      <c r="S8" s="42" t="s">
        <v>6</v>
      </c>
      <c r="T8" s="39" t="s">
        <v>63</v>
      </c>
      <c r="U8" s="34">
        <v>21</v>
      </c>
      <c r="V8" s="43">
        <f t="shared" si="4"/>
        <v>168</v>
      </c>
      <c r="W8" s="44">
        <f t="shared" si="5"/>
        <v>3.7061548643282594</v>
      </c>
      <c r="X8" s="35">
        <v>13</v>
      </c>
      <c r="Y8" s="44"/>
      <c r="Z8" s="44">
        <f>+U8-X8</f>
        <v>8</v>
      </c>
      <c r="AA8" s="44">
        <f t="shared" si="6"/>
        <v>64</v>
      </c>
    </row>
    <row r="9" spans="1:27" x14ac:dyDescent="0.3">
      <c r="A9">
        <v>7</v>
      </c>
      <c r="B9" s="8">
        <f>A9*'Calculations and Assumptions'!$S$28</f>
        <v>317.31</v>
      </c>
      <c r="D9">
        <f t="shared" si="0"/>
        <v>7.25</v>
      </c>
      <c r="E9" s="8">
        <f>D9*'Calculations and Assumptions'!$S$28</f>
        <v>328.64249999999998</v>
      </c>
      <c r="G9">
        <f t="shared" si="1"/>
        <v>7.3</v>
      </c>
      <c r="H9" s="8">
        <f>G9*'Calculations and Assumptions'!$S$28</f>
        <v>330.90899999999999</v>
      </c>
      <c r="J9">
        <f t="shared" si="2"/>
        <v>7.5</v>
      </c>
      <c r="K9" s="8">
        <f>J9*'Calculations and Assumptions'!$S$28</f>
        <v>339.97499999999997</v>
      </c>
      <c r="M9">
        <f t="shared" si="3"/>
        <v>7.75</v>
      </c>
      <c r="N9" s="8">
        <f>M9*'Calculations and Assumptions'!$S$28</f>
        <v>351.3075</v>
      </c>
      <c r="S9" s="42" t="s">
        <v>7</v>
      </c>
      <c r="T9" s="39" t="s">
        <v>64</v>
      </c>
      <c r="U9" s="34">
        <v>21</v>
      </c>
      <c r="V9" s="43">
        <f t="shared" si="4"/>
        <v>168</v>
      </c>
      <c r="W9" s="44">
        <f t="shared" si="5"/>
        <v>3.7061548643282594</v>
      </c>
      <c r="X9" s="35">
        <v>20</v>
      </c>
      <c r="Y9" s="44"/>
      <c r="Z9" s="44">
        <f>+U9-X9</f>
        <v>1</v>
      </c>
      <c r="AA9" s="44">
        <f t="shared" si="6"/>
        <v>8</v>
      </c>
    </row>
    <row r="10" spans="1:27" x14ac:dyDescent="0.3">
      <c r="A10">
        <v>8</v>
      </c>
      <c r="B10" s="8">
        <f>A10*'Calculations and Assumptions'!$S$28</f>
        <v>362.64</v>
      </c>
      <c r="D10">
        <f t="shared" si="0"/>
        <v>8.25</v>
      </c>
      <c r="E10" s="8">
        <f>D10*'Calculations and Assumptions'!$S$28</f>
        <v>373.97249999999997</v>
      </c>
      <c r="G10">
        <f t="shared" si="1"/>
        <v>8.3000000000000007</v>
      </c>
      <c r="H10" s="8">
        <f>G10*'Calculations and Assumptions'!$S$28</f>
        <v>376.23900000000003</v>
      </c>
      <c r="J10">
        <f t="shared" si="2"/>
        <v>8.5</v>
      </c>
      <c r="K10" s="8">
        <f>J10*'Calculations and Assumptions'!$S$28</f>
        <v>385.30500000000001</v>
      </c>
      <c r="M10">
        <f t="shared" si="3"/>
        <v>8.75</v>
      </c>
      <c r="N10" s="8">
        <f>M10*'Calculations and Assumptions'!$S$28</f>
        <v>396.63749999999999</v>
      </c>
      <c r="S10" s="42" t="s">
        <v>8</v>
      </c>
      <c r="T10" s="39" t="s">
        <v>65</v>
      </c>
      <c r="U10" s="34">
        <v>22</v>
      </c>
      <c r="V10" s="43">
        <f t="shared" si="4"/>
        <v>176</v>
      </c>
      <c r="W10" s="44">
        <f t="shared" si="5"/>
        <v>3.8826384292962719</v>
      </c>
      <c r="X10" s="35">
        <v>20</v>
      </c>
      <c r="Y10" s="44"/>
      <c r="Z10" s="44">
        <f>+U10-X10</f>
        <v>2</v>
      </c>
      <c r="AA10" s="44">
        <f t="shared" si="6"/>
        <v>16</v>
      </c>
    </row>
    <row r="11" spans="1:27" x14ac:dyDescent="0.3">
      <c r="A11" s="11">
        <v>9</v>
      </c>
      <c r="B11" s="12">
        <f>A11*'Calculations and Assumptions'!$S$28</f>
        <v>407.96999999999997</v>
      </c>
      <c r="C11" s="11"/>
      <c r="D11" s="11">
        <f t="shared" si="0"/>
        <v>9.25</v>
      </c>
      <c r="E11" s="12">
        <f>D11*'Calculations and Assumptions'!$S$28</f>
        <v>419.30250000000001</v>
      </c>
      <c r="F11" s="11"/>
      <c r="G11" s="11">
        <f t="shared" si="1"/>
        <v>9.3000000000000007</v>
      </c>
      <c r="H11" s="12">
        <f>G11*'Calculations and Assumptions'!$S$28</f>
        <v>421.56900000000002</v>
      </c>
      <c r="I11" s="11"/>
      <c r="J11" s="11">
        <f t="shared" si="2"/>
        <v>9.5</v>
      </c>
      <c r="K11" s="12">
        <f>J11*'Calculations and Assumptions'!$S$28</f>
        <v>430.63499999999999</v>
      </c>
      <c r="L11" s="11"/>
      <c r="M11" s="11">
        <f t="shared" si="3"/>
        <v>9.75</v>
      </c>
      <c r="N11" s="12">
        <f>M11*'Calculations and Assumptions'!$S$28</f>
        <v>441.96749999999997</v>
      </c>
      <c r="S11" s="42" t="s">
        <v>9</v>
      </c>
      <c r="T11" s="39" t="s">
        <v>30</v>
      </c>
      <c r="U11" s="34">
        <v>22</v>
      </c>
      <c r="V11" s="43">
        <f t="shared" si="4"/>
        <v>176</v>
      </c>
      <c r="W11" s="44">
        <f t="shared" si="5"/>
        <v>3.8826384292962719</v>
      </c>
      <c r="X11" s="35">
        <v>19</v>
      </c>
      <c r="Y11" s="44"/>
      <c r="Z11" s="44">
        <f>+U11-X11</f>
        <v>3</v>
      </c>
      <c r="AA11" s="44">
        <f t="shared" si="6"/>
        <v>24</v>
      </c>
    </row>
    <row r="12" spans="1:27" x14ac:dyDescent="0.3">
      <c r="A12">
        <v>10</v>
      </c>
      <c r="B12" s="8">
        <f>A12*'Calculations and Assumptions'!$S$28</f>
        <v>453.29999999999995</v>
      </c>
      <c r="D12">
        <f t="shared" si="0"/>
        <v>10.25</v>
      </c>
      <c r="E12" s="8">
        <f>D12*'Calculations and Assumptions'!$S$28</f>
        <v>464.63249999999999</v>
      </c>
      <c r="G12">
        <f t="shared" si="1"/>
        <v>10.3</v>
      </c>
      <c r="H12" s="8">
        <f>G12*'Calculations and Assumptions'!$S$28</f>
        <v>466.899</v>
      </c>
      <c r="J12">
        <f t="shared" si="2"/>
        <v>10.5</v>
      </c>
      <c r="K12" s="8">
        <f>J12*'Calculations and Assumptions'!$S$28</f>
        <v>475.96499999999997</v>
      </c>
      <c r="M12">
        <f t="shared" si="3"/>
        <v>10.75</v>
      </c>
      <c r="N12" s="8">
        <f>M12*'Calculations and Assumptions'!$S$28</f>
        <v>487.29749999999996</v>
      </c>
      <c r="S12" s="42" t="s">
        <v>10</v>
      </c>
      <c r="T12" s="39" t="s">
        <v>66</v>
      </c>
      <c r="U12" s="34">
        <v>21</v>
      </c>
      <c r="V12" s="43">
        <f t="shared" si="4"/>
        <v>168</v>
      </c>
      <c r="W12" s="44">
        <f t="shared" si="5"/>
        <v>3.7061548643282594</v>
      </c>
      <c r="X12" s="35">
        <v>12</v>
      </c>
      <c r="Y12" s="44">
        <f>+U12-X12</f>
        <v>9</v>
      </c>
      <c r="Z12" s="44">
        <v>0</v>
      </c>
      <c r="AA12" s="44">
        <f t="shared" si="6"/>
        <v>0</v>
      </c>
    </row>
    <row r="13" spans="1:27" x14ac:dyDescent="0.3">
      <c r="A13">
        <v>11</v>
      </c>
      <c r="B13" s="8">
        <f>A13*'Calculations and Assumptions'!$S$28</f>
        <v>498.63</v>
      </c>
      <c r="D13">
        <f t="shared" si="0"/>
        <v>11.25</v>
      </c>
      <c r="E13" s="8">
        <f>D13*'Calculations and Assumptions'!$S$28</f>
        <v>509.96249999999998</v>
      </c>
      <c r="G13">
        <f t="shared" si="1"/>
        <v>11.3</v>
      </c>
      <c r="H13" s="8">
        <f>G13*'Calculations and Assumptions'!$S$28</f>
        <v>512.22900000000004</v>
      </c>
      <c r="J13">
        <f t="shared" si="2"/>
        <v>11.5</v>
      </c>
      <c r="K13" s="8">
        <f>J13*'Calculations and Assumptions'!$S$28</f>
        <v>521.29499999999996</v>
      </c>
      <c r="M13">
        <f t="shared" si="3"/>
        <v>11.75</v>
      </c>
      <c r="N13" s="8">
        <f>M13*'Calculations and Assumptions'!$S$28</f>
        <v>532.62749999999994</v>
      </c>
      <c r="S13" s="42" t="s">
        <v>11</v>
      </c>
      <c r="T13" s="39" t="s">
        <v>67</v>
      </c>
      <c r="U13" s="34">
        <v>22</v>
      </c>
      <c r="V13" s="43">
        <f t="shared" si="4"/>
        <v>176</v>
      </c>
      <c r="W13" s="44">
        <f t="shared" si="5"/>
        <v>3.8826384292962719</v>
      </c>
      <c r="X13" s="35">
        <v>0</v>
      </c>
      <c r="Y13" s="44">
        <f>+U13-X13</f>
        <v>22</v>
      </c>
      <c r="Z13" s="44">
        <v>0</v>
      </c>
      <c r="AA13" s="44">
        <f t="shared" si="6"/>
        <v>0</v>
      </c>
    </row>
    <row r="14" spans="1:27" x14ac:dyDescent="0.3">
      <c r="A14" s="17">
        <v>12</v>
      </c>
      <c r="B14" s="18">
        <f>A14*'Calculations and Assumptions'!$S$28</f>
        <v>543.96</v>
      </c>
      <c r="C14" s="11"/>
      <c r="D14" s="11">
        <f t="shared" si="0"/>
        <v>12.25</v>
      </c>
      <c r="E14" s="12">
        <f>D14*'Calculations and Assumptions'!$S$28</f>
        <v>555.29250000000002</v>
      </c>
      <c r="F14" s="11"/>
      <c r="G14" s="11">
        <f t="shared" si="1"/>
        <v>12.3</v>
      </c>
      <c r="H14" s="12">
        <f>G14*'Calculations and Assumptions'!$S$28</f>
        <v>557.55899999999997</v>
      </c>
      <c r="I14" s="11"/>
      <c r="J14" s="11">
        <f t="shared" si="2"/>
        <v>12.5</v>
      </c>
      <c r="K14" s="12">
        <f>J14*'Calculations and Assumptions'!$S$28</f>
        <v>566.625</v>
      </c>
      <c r="L14" s="11"/>
      <c r="M14" s="11">
        <f t="shared" si="3"/>
        <v>12.75</v>
      </c>
      <c r="N14" s="12">
        <f>M14*'Calculations and Assumptions'!$S$28</f>
        <v>577.95749999999998</v>
      </c>
      <c r="S14" s="42" t="s">
        <v>0</v>
      </c>
      <c r="T14" s="39" t="s">
        <v>31</v>
      </c>
      <c r="U14" s="34">
        <v>22</v>
      </c>
      <c r="V14" s="43">
        <f t="shared" si="4"/>
        <v>176</v>
      </c>
      <c r="W14" s="44">
        <f t="shared" si="5"/>
        <v>3.8826384292962719</v>
      </c>
      <c r="X14" s="35">
        <v>0</v>
      </c>
      <c r="Y14" s="44">
        <f>+U14-X14</f>
        <v>22</v>
      </c>
      <c r="Z14" s="44">
        <v>0</v>
      </c>
      <c r="AA14" s="44">
        <f t="shared" si="6"/>
        <v>0</v>
      </c>
    </row>
    <row r="15" spans="1:27" x14ac:dyDescent="0.3">
      <c r="A15">
        <v>13</v>
      </c>
      <c r="B15" s="8">
        <f>A15*'Calculations and Assumptions'!$S$28</f>
        <v>589.29</v>
      </c>
      <c r="D15">
        <f t="shared" si="0"/>
        <v>13.25</v>
      </c>
      <c r="E15" s="8">
        <f>D15*'Calculations and Assumptions'!$S$28</f>
        <v>600.62249999999995</v>
      </c>
      <c r="G15">
        <f t="shared" si="1"/>
        <v>13.3</v>
      </c>
      <c r="H15" s="8">
        <f>G15*'Calculations and Assumptions'!$S$28</f>
        <v>602.88900000000001</v>
      </c>
      <c r="J15">
        <f t="shared" si="2"/>
        <v>13.5</v>
      </c>
      <c r="K15" s="8">
        <f>J15*'Calculations and Assumptions'!$S$28</f>
        <v>611.95499999999993</v>
      </c>
      <c r="M15">
        <f t="shared" si="3"/>
        <v>13.75</v>
      </c>
      <c r="N15" s="8">
        <f>M15*'Calculations and Assumptions'!$S$28</f>
        <v>623.28750000000002</v>
      </c>
      <c r="S15" s="42" t="s">
        <v>1</v>
      </c>
      <c r="T15" s="39" t="s">
        <v>68</v>
      </c>
      <c r="U15" s="34">
        <v>22</v>
      </c>
      <c r="V15" s="43">
        <f t="shared" ref="V15" si="7">8*U15</f>
        <v>176</v>
      </c>
      <c r="W15" s="44">
        <f t="shared" si="5"/>
        <v>3.8826384292962719</v>
      </c>
      <c r="X15" s="35">
        <v>12</v>
      </c>
      <c r="Y15" s="44">
        <f>+U15-X15</f>
        <v>10</v>
      </c>
      <c r="Z15" s="44">
        <v>0</v>
      </c>
      <c r="AA15" s="44">
        <f t="shared" si="6"/>
        <v>0</v>
      </c>
    </row>
    <row r="16" spans="1:27" x14ac:dyDescent="0.3">
      <c r="A16">
        <v>14</v>
      </c>
      <c r="B16" s="8">
        <f>A16*'Calculations and Assumptions'!$S$28</f>
        <v>634.62</v>
      </c>
      <c r="D16">
        <f t="shared" si="0"/>
        <v>14.25</v>
      </c>
      <c r="E16" s="8">
        <f>D16*'Calculations and Assumptions'!$S$28</f>
        <v>645.95249999999999</v>
      </c>
      <c r="G16">
        <f t="shared" si="1"/>
        <v>14.3</v>
      </c>
      <c r="H16" s="8">
        <f>G16*'Calculations and Assumptions'!$S$28</f>
        <v>648.21900000000005</v>
      </c>
      <c r="J16">
        <f t="shared" si="2"/>
        <v>14.5</v>
      </c>
      <c r="K16" s="8">
        <f>J16*'Calculations and Assumptions'!$S$28</f>
        <v>657.28499999999997</v>
      </c>
      <c r="M16">
        <f t="shared" si="3"/>
        <v>14.75</v>
      </c>
      <c r="N16" s="8">
        <f>M16*'Calculations and Assumptions'!$S$28</f>
        <v>668.61749999999995</v>
      </c>
      <c r="S16" s="3" t="s">
        <v>14</v>
      </c>
      <c r="U16" s="4">
        <f t="shared" ref="U16:AA16" si="8">SUM(U3:U15)</f>
        <v>283</v>
      </c>
      <c r="V16" s="4">
        <f t="shared" si="8"/>
        <v>2264</v>
      </c>
      <c r="W16" s="7">
        <f t="shared" si="8"/>
        <v>49.944848885947501</v>
      </c>
      <c r="X16" s="23">
        <f t="shared" si="8"/>
        <v>182</v>
      </c>
      <c r="Y16" s="23">
        <f t="shared" si="8"/>
        <v>63</v>
      </c>
      <c r="Z16" s="23">
        <f t="shared" si="8"/>
        <v>38</v>
      </c>
      <c r="AA16" s="7">
        <f t="shared" si="8"/>
        <v>304</v>
      </c>
    </row>
    <row r="17" spans="1:26" x14ac:dyDescent="0.3">
      <c r="A17" s="11">
        <f t="shared" ref="A17:A32" si="9">+A16+1</f>
        <v>15</v>
      </c>
      <c r="B17" s="12">
        <f>A17*'Calculations and Assumptions'!$S$28</f>
        <v>679.94999999999993</v>
      </c>
      <c r="C17" s="11"/>
      <c r="D17" s="11">
        <f t="shared" si="0"/>
        <v>15.25</v>
      </c>
      <c r="E17" s="12">
        <f>D17*'Calculations and Assumptions'!$S$28</f>
        <v>691.28250000000003</v>
      </c>
      <c r="F17" s="11"/>
      <c r="G17" s="11">
        <f t="shared" si="1"/>
        <v>15.3</v>
      </c>
      <c r="H17" s="12">
        <f>G17*'Calculations and Assumptions'!$S$28</f>
        <v>693.54899999999998</v>
      </c>
      <c r="I17" s="11"/>
      <c r="J17" s="11">
        <f t="shared" si="2"/>
        <v>15.5</v>
      </c>
      <c r="K17" s="12">
        <f>J17*'Calculations and Assumptions'!$S$28</f>
        <v>702.61500000000001</v>
      </c>
      <c r="L17" s="11"/>
      <c r="M17" s="11">
        <f t="shared" si="3"/>
        <v>15.75</v>
      </c>
      <c r="N17" s="12">
        <f>M17*'Calculations and Assumptions'!$S$28</f>
        <v>713.94749999999999</v>
      </c>
      <c r="X17" s="24">
        <f>+X16+Y16+Z16</f>
        <v>283</v>
      </c>
      <c r="Y17" s="5"/>
      <c r="Z17" s="6"/>
    </row>
    <row r="18" spans="1:26" x14ac:dyDescent="0.3">
      <c r="A18">
        <f t="shared" si="9"/>
        <v>16</v>
      </c>
      <c r="B18" s="8">
        <f>A18*'Calculations and Assumptions'!$S$28</f>
        <v>725.28</v>
      </c>
      <c r="D18">
        <f t="shared" si="0"/>
        <v>16.25</v>
      </c>
      <c r="E18" s="8">
        <f>D18*'Calculations and Assumptions'!$S$28</f>
        <v>736.61249999999995</v>
      </c>
      <c r="G18">
        <f t="shared" si="1"/>
        <v>16.3</v>
      </c>
      <c r="H18" s="8">
        <f>G18*'Calculations and Assumptions'!$S$28</f>
        <v>738.87900000000002</v>
      </c>
      <c r="J18">
        <f t="shared" si="2"/>
        <v>16.5</v>
      </c>
      <c r="K18" s="8">
        <f>J18*'Calculations and Assumptions'!$S$28</f>
        <v>747.94499999999994</v>
      </c>
      <c r="M18">
        <f t="shared" si="3"/>
        <v>16.75</v>
      </c>
      <c r="N18" s="8">
        <f>M18*'Calculations and Assumptions'!$S$28</f>
        <v>759.27749999999992</v>
      </c>
      <c r="S18" s="3"/>
      <c r="T18" s="15"/>
      <c r="X18" s="5"/>
      <c r="Z18" s="6"/>
    </row>
    <row r="19" spans="1:26" x14ac:dyDescent="0.3">
      <c r="A19">
        <f t="shared" si="9"/>
        <v>17</v>
      </c>
      <c r="B19" s="8">
        <f>A19*'Calculations and Assumptions'!$S$28</f>
        <v>770.61</v>
      </c>
      <c r="D19">
        <f t="shared" si="0"/>
        <v>17.25</v>
      </c>
      <c r="E19" s="8">
        <f>D19*'Calculations and Assumptions'!$S$28</f>
        <v>781.9425</v>
      </c>
      <c r="G19">
        <f t="shared" si="1"/>
        <v>17.3</v>
      </c>
      <c r="H19" s="8">
        <f>G19*'Calculations and Assumptions'!$S$28</f>
        <v>784.20899999999995</v>
      </c>
      <c r="J19">
        <f t="shared" si="2"/>
        <v>17.5</v>
      </c>
      <c r="K19" s="8">
        <f>J19*'Calculations and Assumptions'!$S$28</f>
        <v>793.27499999999998</v>
      </c>
      <c r="M19">
        <f t="shared" si="3"/>
        <v>17.75</v>
      </c>
      <c r="N19" s="8">
        <f>M19*'Calculations and Assumptions'!$S$28</f>
        <v>804.60749999999996</v>
      </c>
      <c r="X19" s="5"/>
    </row>
    <row r="20" spans="1:26" x14ac:dyDescent="0.3">
      <c r="A20" s="11">
        <f t="shared" si="9"/>
        <v>18</v>
      </c>
      <c r="B20" s="12">
        <f>A20*'Calculations and Assumptions'!$S$28</f>
        <v>815.93999999999994</v>
      </c>
      <c r="C20" s="11"/>
      <c r="D20" s="11">
        <f t="shared" si="0"/>
        <v>18.25</v>
      </c>
      <c r="E20" s="12">
        <f>D20*'Calculations and Assumptions'!$S$28</f>
        <v>827.27249999999992</v>
      </c>
      <c r="F20" s="11"/>
      <c r="G20" s="11">
        <f t="shared" si="1"/>
        <v>18.3</v>
      </c>
      <c r="H20" s="12">
        <f>G20*'Calculations and Assumptions'!$S$28</f>
        <v>829.53899999999999</v>
      </c>
      <c r="I20" s="11"/>
      <c r="J20" s="11">
        <f t="shared" si="2"/>
        <v>18.5</v>
      </c>
      <c r="K20" s="12">
        <f>J20*'Calculations and Assumptions'!$S$28</f>
        <v>838.60500000000002</v>
      </c>
      <c r="L20" s="11"/>
      <c r="M20" s="11">
        <f t="shared" si="3"/>
        <v>18.75</v>
      </c>
      <c r="N20" s="12">
        <f>M20*'Calculations and Assumptions'!$S$28</f>
        <v>849.9375</v>
      </c>
    </row>
    <row r="21" spans="1:26" x14ac:dyDescent="0.3">
      <c r="A21">
        <f t="shared" si="9"/>
        <v>19</v>
      </c>
      <c r="B21" s="8">
        <f>A21*'Calculations and Assumptions'!$S$28</f>
        <v>861.27</v>
      </c>
      <c r="D21">
        <f t="shared" si="0"/>
        <v>19.25</v>
      </c>
      <c r="E21" s="8">
        <f>D21*'Calculations and Assumptions'!$S$28</f>
        <v>872.60249999999996</v>
      </c>
      <c r="G21">
        <f t="shared" si="1"/>
        <v>19.3</v>
      </c>
      <c r="H21" s="8">
        <f>G21*'Calculations and Assumptions'!$S$28</f>
        <v>874.86900000000003</v>
      </c>
      <c r="J21">
        <f t="shared" si="2"/>
        <v>19.5</v>
      </c>
      <c r="K21" s="8">
        <f>J21*'Calculations and Assumptions'!$S$28</f>
        <v>883.93499999999995</v>
      </c>
      <c r="M21">
        <f t="shared" si="3"/>
        <v>19.75</v>
      </c>
      <c r="N21" s="8">
        <f>M21*'Calculations and Assumptions'!$S$28</f>
        <v>895.26749999999993</v>
      </c>
      <c r="S21" s="41" t="s">
        <v>16</v>
      </c>
      <c r="T21" s="10"/>
      <c r="U21" s="10"/>
      <c r="X21" s="40"/>
      <c r="Y21" s="41" t="s">
        <v>15</v>
      </c>
      <c r="Z21" s="41" t="s">
        <v>53</v>
      </c>
    </row>
    <row r="22" spans="1:26" x14ac:dyDescent="0.3">
      <c r="A22">
        <f t="shared" si="9"/>
        <v>20</v>
      </c>
      <c r="B22" s="8">
        <f>A22*'Calculations and Assumptions'!$S$28</f>
        <v>906.59999999999991</v>
      </c>
      <c r="D22">
        <f t="shared" si="0"/>
        <v>20.25</v>
      </c>
      <c r="E22" s="8">
        <f>D22*'Calculations and Assumptions'!$S$28</f>
        <v>917.9325</v>
      </c>
      <c r="G22">
        <f t="shared" si="1"/>
        <v>20.3</v>
      </c>
      <c r="H22" s="8">
        <f>G22*'Calculations and Assumptions'!$S$28</f>
        <v>920.19899999999996</v>
      </c>
      <c r="J22">
        <f t="shared" si="2"/>
        <v>20.5</v>
      </c>
      <c r="K22" s="8">
        <f>J22*'Calculations and Assumptions'!$S$28</f>
        <v>929.26499999999999</v>
      </c>
      <c r="M22">
        <f t="shared" si="3"/>
        <v>20.75</v>
      </c>
      <c r="N22" s="8">
        <f>M22*'Calculations and Assumptions'!$S$28</f>
        <v>940.59749999999997</v>
      </c>
      <c r="S22" s="48">
        <v>15</v>
      </c>
      <c r="T22" s="49" t="s">
        <v>36</v>
      </c>
      <c r="U22" s="50"/>
      <c r="V22" s="19"/>
      <c r="X22" s="46" t="s">
        <v>39</v>
      </c>
      <c r="Y22" s="43"/>
      <c r="Z22" s="43"/>
    </row>
    <row r="23" spans="1:26" x14ac:dyDescent="0.3">
      <c r="A23" s="11">
        <f t="shared" si="9"/>
        <v>21</v>
      </c>
      <c r="B23" s="12">
        <f>A23*'Calculations and Assumptions'!$S$28</f>
        <v>951.93</v>
      </c>
      <c r="C23" s="11"/>
      <c r="D23" s="11">
        <f t="shared" si="0"/>
        <v>21.25</v>
      </c>
      <c r="E23" s="12">
        <f>D23*'Calculations and Assumptions'!$S$28</f>
        <v>963.26249999999993</v>
      </c>
      <c r="F23" s="11"/>
      <c r="G23" s="11">
        <f t="shared" si="1"/>
        <v>21.3</v>
      </c>
      <c r="H23" s="12">
        <f>G23*'Calculations and Assumptions'!$S$28</f>
        <v>965.529</v>
      </c>
      <c r="I23" s="11"/>
      <c r="J23" s="11">
        <f t="shared" si="2"/>
        <v>21.5</v>
      </c>
      <c r="K23" s="12">
        <f>J23*'Calculations and Assumptions'!$S$28</f>
        <v>974.59499999999991</v>
      </c>
      <c r="L23" s="11"/>
      <c r="M23" s="11">
        <f t="shared" si="3"/>
        <v>21.75</v>
      </c>
      <c r="N23" s="12">
        <f>M23*'Calculations and Assumptions'!$S$28</f>
        <v>985.92750000000001</v>
      </c>
      <c r="S23" s="34">
        <v>30</v>
      </c>
      <c r="T23" s="43" t="s">
        <v>35</v>
      </c>
      <c r="U23" s="43"/>
      <c r="V23" s="19"/>
      <c r="X23" s="46" t="s">
        <v>40</v>
      </c>
      <c r="Y23" s="43"/>
      <c r="Z23" s="43"/>
    </row>
    <row r="24" spans="1:26" x14ac:dyDescent="0.3">
      <c r="A24">
        <f t="shared" si="9"/>
        <v>22</v>
      </c>
      <c r="B24" s="8">
        <f>A24*'Calculations and Assumptions'!$S$28</f>
        <v>997.26</v>
      </c>
      <c r="D24">
        <f t="shared" si="0"/>
        <v>22.25</v>
      </c>
      <c r="E24" s="8">
        <f>D24*'Calculations and Assumptions'!$S$28</f>
        <v>1008.5925</v>
      </c>
      <c r="G24">
        <f t="shared" si="1"/>
        <v>22.3</v>
      </c>
      <c r="H24" s="8">
        <f>G24*'Calculations and Assumptions'!$S$28</f>
        <v>1010.859</v>
      </c>
      <c r="J24">
        <f t="shared" si="2"/>
        <v>22.5</v>
      </c>
      <c r="K24" s="8">
        <f>J24*'Calculations and Assumptions'!$S$28</f>
        <v>1019.925</v>
      </c>
      <c r="M24">
        <f t="shared" si="3"/>
        <v>22.75</v>
      </c>
      <c r="N24" s="8">
        <f>M24*'Calculations and Assumptions'!$S$28</f>
        <v>1031.2574999999999</v>
      </c>
      <c r="S24" s="34">
        <v>12</v>
      </c>
      <c r="T24" s="43" t="s">
        <v>37</v>
      </c>
      <c r="U24" s="43"/>
      <c r="V24" s="19"/>
      <c r="X24" s="46" t="s">
        <v>41</v>
      </c>
      <c r="Y24" s="36">
        <v>12</v>
      </c>
      <c r="Z24" s="44">
        <f>+Y24*0.25</f>
        <v>3</v>
      </c>
    </row>
    <row r="25" spans="1:26" x14ac:dyDescent="0.3">
      <c r="A25">
        <f t="shared" si="9"/>
        <v>23</v>
      </c>
      <c r="B25" s="8">
        <f>A25*'Calculations and Assumptions'!$S$28</f>
        <v>1042.5899999999999</v>
      </c>
      <c r="D25">
        <f t="shared" si="0"/>
        <v>23.25</v>
      </c>
      <c r="E25" s="8">
        <f>D25*'Calculations and Assumptions'!$S$28</f>
        <v>1053.9224999999999</v>
      </c>
      <c r="G25">
        <f t="shared" si="1"/>
        <v>23.3</v>
      </c>
      <c r="H25" s="8">
        <f>G25*'Calculations and Assumptions'!$S$28</f>
        <v>1056.1890000000001</v>
      </c>
      <c r="J25">
        <f t="shared" si="2"/>
        <v>23.5</v>
      </c>
      <c r="K25" s="8">
        <f>J25*'Calculations and Assumptions'!$S$28</f>
        <v>1065.2549999999999</v>
      </c>
      <c r="M25">
        <f t="shared" si="3"/>
        <v>23.75</v>
      </c>
      <c r="N25" s="8">
        <f>M25*'Calculations and Assumptions'!$S$28</f>
        <v>1076.5874999999999</v>
      </c>
      <c r="S25" s="37">
        <v>8</v>
      </c>
      <c r="T25" s="45" t="s">
        <v>17</v>
      </c>
      <c r="U25" s="43"/>
      <c r="V25" s="19"/>
      <c r="X25" s="46" t="s">
        <v>42</v>
      </c>
      <c r="Y25" s="34">
        <v>30</v>
      </c>
      <c r="Z25" s="44">
        <f>+Y25*0.25</f>
        <v>7.5</v>
      </c>
    </row>
    <row r="26" spans="1:26" x14ac:dyDescent="0.3">
      <c r="A26" s="11">
        <f t="shared" si="9"/>
        <v>24</v>
      </c>
      <c r="B26" s="12">
        <f>A26*'Calculations and Assumptions'!$S$28</f>
        <v>1087.92</v>
      </c>
      <c r="C26" s="11"/>
      <c r="D26" s="11">
        <f t="shared" si="0"/>
        <v>24.25</v>
      </c>
      <c r="E26" s="12">
        <f>D26*'Calculations and Assumptions'!$S$28</f>
        <v>1099.2525000000001</v>
      </c>
      <c r="F26" s="11"/>
      <c r="G26" s="11">
        <f t="shared" si="1"/>
        <v>24.3</v>
      </c>
      <c r="H26" s="12">
        <f>G26*'Calculations and Assumptions'!$S$28</f>
        <v>1101.519</v>
      </c>
      <c r="I26" s="11"/>
      <c r="J26" s="11">
        <f t="shared" si="2"/>
        <v>24.5</v>
      </c>
      <c r="K26" s="12">
        <f>J26*'Calculations and Assumptions'!$S$28</f>
        <v>1110.585</v>
      </c>
      <c r="L26" s="11"/>
      <c r="M26" s="11">
        <f t="shared" si="3"/>
        <v>24.75</v>
      </c>
      <c r="N26" s="12">
        <f>M26*'Calculations and Assumptions'!$S$28</f>
        <v>1121.9175</v>
      </c>
      <c r="S26" s="34">
        <v>85</v>
      </c>
      <c r="T26" s="45" t="s">
        <v>18</v>
      </c>
      <c r="U26" s="43"/>
      <c r="V26" s="19"/>
      <c r="X26" s="46" t="s">
        <v>49</v>
      </c>
      <c r="Y26" s="47">
        <f>+Z16*8/S28</f>
        <v>6.7063754687844694</v>
      </c>
      <c r="Z26" s="44">
        <f>+Y26*0.25</f>
        <v>1.6765938671961174</v>
      </c>
    </row>
    <row r="27" spans="1:26" x14ac:dyDescent="0.3">
      <c r="A27">
        <f t="shared" si="9"/>
        <v>25</v>
      </c>
      <c r="B27" s="8">
        <f>A27*'Calculations and Assumptions'!$S$28</f>
        <v>1133.25</v>
      </c>
      <c r="D27">
        <f t="shared" si="0"/>
        <v>25.25</v>
      </c>
      <c r="E27" s="8">
        <f>D27*'Calculations and Assumptions'!$S$28</f>
        <v>1144.5825</v>
      </c>
      <c r="G27">
        <f t="shared" si="1"/>
        <v>25.3</v>
      </c>
      <c r="H27" s="8">
        <f>G27*'Calculations and Assumptions'!$S$28</f>
        <v>1146.8489999999999</v>
      </c>
      <c r="J27">
        <f t="shared" si="2"/>
        <v>25.5</v>
      </c>
      <c r="K27" s="8">
        <f>J27*'Calculations and Assumptions'!$S$28</f>
        <v>1155.915</v>
      </c>
      <c r="M27">
        <f t="shared" si="3"/>
        <v>25.75</v>
      </c>
      <c r="N27" s="8">
        <f>M27*'Calculations and Assumptions'!$S$28</f>
        <v>1167.2474999999999</v>
      </c>
      <c r="S27" s="34">
        <f>+S26*8</f>
        <v>680</v>
      </c>
      <c r="T27" s="45" t="s">
        <v>19</v>
      </c>
      <c r="U27" s="43"/>
      <c r="V27" s="19"/>
      <c r="X27" s="4"/>
      <c r="Y27" s="33">
        <f>SUM(Y24:Y26)</f>
        <v>48.706375468784472</v>
      </c>
    </row>
    <row r="28" spans="1:26" x14ac:dyDescent="0.3">
      <c r="A28">
        <f t="shared" si="9"/>
        <v>26</v>
      </c>
      <c r="B28" s="8">
        <f>A28*'Calculations and Assumptions'!$S$28</f>
        <v>1178.58</v>
      </c>
      <c r="D28">
        <f t="shared" si="0"/>
        <v>26.25</v>
      </c>
      <c r="E28" s="8">
        <f>D28*'Calculations and Assumptions'!$S$28</f>
        <v>1189.9124999999999</v>
      </c>
      <c r="G28">
        <f t="shared" si="1"/>
        <v>26.3</v>
      </c>
      <c r="H28" s="8">
        <f>G28*'Calculations and Assumptions'!$S$28</f>
        <v>1192.1790000000001</v>
      </c>
      <c r="J28">
        <f t="shared" si="2"/>
        <v>26.5</v>
      </c>
      <c r="K28" s="8">
        <f>J28*'Calculations and Assumptions'!$S$28</f>
        <v>1201.2449999999999</v>
      </c>
      <c r="M28">
        <f t="shared" si="3"/>
        <v>26.75</v>
      </c>
      <c r="N28" s="8">
        <f>M28*'Calculations and Assumptions'!$S$28</f>
        <v>1212.5774999999999</v>
      </c>
      <c r="S28" s="34">
        <v>45.33</v>
      </c>
      <c r="T28" s="45" t="s">
        <v>20</v>
      </c>
      <c r="U28" s="43"/>
      <c r="V28" s="19"/>
      <c r="X28" s="4"/>
    </row>
    <row r="29" spans="1:26" x14ac:dyDescent="0.3">
      <c r="A29" s="11">
        <f t="shared" si="9"/>
        <v>27</v>
      </c>
      <c r="B29" s="12">
        <f>A29*'Calculations and Assumptions'!$S$28</f>
        <v>1223.9099999999999</v>
      </c>
      <c r="C29" s="11"/>
      <c r="D29" s="11">
        <f t="shared" si="0"/>
        <v>27.25</v>
      </c>
      <c r="E29" s="12">
        <f>D29*'Calculations and Assumptions'!$S$28</f>
        <v>1235.2425000000001</v>
      </c>
      <c r="F29" s="11"/>
      <c r="G29" s="11">
        <f t="shared" si="1"/>
        <v>27.3</v>
      </c>
      <c r="H29" s="12">
        <f>G29*'Calculations and Assumptions'!$S$28</f>
        <v>1237.509</v>
      </c>
      <c r="I29" s="11"/>
      <c r="J29" s="11">
        <f t="shared" si="2"/>
        <v>27.5</v>
      </c>
      <c r="K29" s="12">
        <f>J29*'Calculations and Assumptions'!$S$28</f>
        <v>1246.575</v>
      </c>
      <c r="L29" s="11"/>
      <c r="M29" s="11">
        <f t="shared" si="3"/>
        <v>27.75</v>
      </c>
      <c r="N29" s="12">
        <f>M29*'Calculations and Assumptions'!$S$28</f>
        <v>1257.9075</v>
      </c>
    </row>
    <row r="30" spans="1:26" x14ac:dyDescent="0.3">
      <c r="A30">
        <f t="shared" si="9"/>
        <v>28</v>
      </c>
      <c r="B30" s="8">
        <f>A30*'Calculations and Assumptions'!$S$28</f>
        <v>1269.24</v>
      </c>
      <c r="D30">
        <f t="shared" si="0"/>
        <v>28.25</v>
      </c>
      <c r="E30" s="8">
        <f>D30*'Calculations and Assumptions'!$S$28</f>
        <v>1280.5725</v>
      </c>
      <c r="G30">
        <f t="shared" si="1"/>
        <v>28.3</v>
      </c>
      <c r="H30" s="8">
        <f>G30*'Calculations and Assumptions'!$S$28</f>
        <v>1282.8389999999999</v>
      </c>
      <c r="J30">
        <f t="shared" si="2"/>
        <v>28.5</v>
      </c>
      <c r="K30" s="8">
        <f>J30*'Calculations and Assumptions'!$S$28</f>
        <v>1291.905</v>
      </c>
      <c r="M30">
        <f t="shared" si="3"/>
        <v>28.75</v>
      </c>
      <c r="N30" s="8">
        <f>M30*'Calculations and Assumptions'!$S$28</f>
        <v>1303.2375</v>
      </c>
    </row>
    <row r="31" spans="1:26" x14ac:dyDescent="0.3">
      <c r="A31">
        <f t="shared" si="9"/>
        <v>29</v>
      </c>
      <c r="B31" s="8">
        <f>A31*'Calculations and Assumptions'!$S$28</f>
        <v>1314.57</v>
      </c>
      <c r="D31">
        <f t="shared" si="0"/>
        <v>29.25</v>
      </c>
      <c r="E31" s="8">
        <f>D31*'Calculations and Assumptions'!$S$28</f>
        <v>1325.9024999999999</v>
      </c>
      <c r="G31">
        <f t="shared" si="1"/>
        <v>29.3</v>
      </c>
      <c r="H31" s="8">
        <f>G31*'Calculations and Assumptions'!$S$28</f>
        <v>1328.1689999999999</v>
      </c>
      <c r="J31">
        <f t="shared" si="2"/>
        <v>29.5</v>
      </c>
      <c r="K31" s="8">
        <f>J31*'Calculations and Assumptions'!$S$28</f>
        <v>1337.2349999999999</v>
      </c>
      <c r="M31">
        <f t="shared" si="3"/>
        <v>29.75</v>
      </c>
      <c r="N31" s="8">
        <f>M31*'Calculations and Assumptions'!$S$28</f>
        <v>1348.5674999999999</v>
      </c>
    </row>
    <row r="32" spans="1:26" x14ac:dyDescent="0.3">
      <c r="A32" s="11">
        <f t="shared" si="9"/>
        <v>30</v>
      </c>
      <c r="B32" s="12">
        <f>A32*'Calculations and Assumptions'!$S$28</f>
        <v>1359.8999999999999</v>
      </c>
      <c r="E32" s="8"/>
      <c r="H32" s="8"/>
      <c r="K32" s="8"/>
      <c r="N32" s="8"/>
    </row>
    <row r="33" spans="7:9" x14ac:dyDescent="0.3">
      <c r="G33" s="1" t="s">
        <v>22</v>
      </c>
      <c r="H33" s="13">
        <v>728</v>
      </c>
      <c r="I33" t="s">
        <v>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Worksheet</vt:lpstr>
      <vt:lpstr>Calculations and Assumptions</vt:lpstr>
      <vt:lpstr>AY</vt:lpstr>
      <vt:lpstr>Worksheet!Print_Area</vt:lpstr>
      <vt:lpstr>Time</vt:lpstr>
    </vt:vector>
  </TitlesOfParts>
  <Company>California State University Fresno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Volpp</dc:creator>
  <cp:lastModifiedBy>Faculty Affairs</cp:lastModifiedBy>
  <cp:lastPrinted>2012-10-22T23:39:09Z</cp:lastPrinted>
  <dcterms:created xsi:type="dcterms:W3CDTF">2012-02-08T00:22:18Z</dcterms:created>
  <dcterms:modified xsi:type="dcterms:W3CDTF">2014-08-28T18:51:09Z</dcterms:modified>
</cp:coreProperties>
</file>