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80" yWindow="2500" windowWidth="28100" windowHeight="12960" tabRatio="500" activeTab="1"/>
  </bookViews>
  <sheets>
    <sheet name="Instructions" sheetId="1" r:id="rId1"/>
    <sheet name="Two-pyx Input &amp; Models" sheetId="2" r:id="rId2"/>
  </sheets>
  <definedNames/>
  <calcPr fullCalcOnLoad="1" iterate="1" iterateCount="100" iterateDelta="0.001"/>
</workbook>
</file>

<file path=xl/comments2.xml><?xml version="1.0" encoding="utf-8"?>
<comments xmlns="http://schemas.openxmlformats.org/spreadsheetml/2006/main">
  <authors>
    <author>Keith Putirka</author>
  </authors>
  <commentList>
    <comment ref="AL14" authorId="0">
      <text>
        <r>
          <rPr>
            <b/>
            <sz val="9"/>
            <rFont val="Verdana"/>
            <family val="0"/>
          </rPr>
          <t>Keith Putirka: This is a modified form of Eqn. 32; here the P coefficient is changed from 544 to 755 and the coefficient for the En activity term is changed from 0.395 to 3.5; these changes provide a much better fit to subsolidus T estimates, but provide poorer fits to pyroxenes from volcanic systems</t>
        </r>
        <r>
          <rPr>
            <sz val="9"/>
            <rFont val="Verdana"/>
            <family val="0"/>
          </rPr>
          <t xml:space="preserve">
</t>
        </r>
      </text>
    </comment>
  </commentList>
</comments>
</file>

<file path=xl/sharedStrings.xml><?xml version="1.0" encoding="utf-8"?>
<sst xmlns="http://schemas.openxmlformats.org/spreadsheetml/2006/main" count="285" uniqueCount="160">
  <si>
    <t>Eqn 37</t>
  </si>
  <si>
    <t>Barometers and Thermometers</t>
  </si>
  <si>
    <t>Putirka (2008) RiMG</t>
  </si>
  <si>
    <t>Gray field = input</t>
  </si>
  <si>
    <t>Blue field = output</t>
  </si>
  <si>
    <t>Two-Pyroxene thermometers and Barometers</t>
  </si>
  <si>
    <t>Observed</t>
  </si>
  <si>
    <t>2) OUTPUT AC - AH</t>
  </si>
  <si>
    <t>Experimental Compositions given  as examples</t>
  </si>
  <si>
    <t>Leave Blank</t>
  </si>
  <si>
    <t>LEPR</t>
  </si>
  <si>
    <t>Test for Equilibrium</t>
  </si>
  <si>
    <r>
      <t>(K</t>
    </r>
    <r>
      <rPr>
        <b/>
        <vertAlign val="subscript"/>
        <sz val="10"/>
        <rFont val="Verdana"/>
        <family val="0"/>
      </rPr>
      <t>D</t>
    </r>
    <r>
      <rPr>
        <b/>
        <sz val="10"/>
        <rFont val="Verdana"/>
        <family val="0"/>
      </rPr>
      <t xml:space="preserve"> should be 1.09±.14)</t>
    </r>
  </si>
  <si>
    <t>Schwab, B.E., Johnston, A.D. (2001)</t>
  </si>
  <si>
    <t>INT-E7</t>
  </si>
  <si>
    <t>INT-D5</t>
  </si>
  <si>
    <t>INT-D2</t>
  </si>
  <si>
    <t>Kinzler, R.J. (1997)</t>
  </si>
  <si>
    <t>L69</t>
  </si>
  <si>
    <t>H176</t>
  </si>
  <si>
    <t>Kinzler, R.J., Grove, T.L. (1992)</t>
  </si>
  <si>
    <t>H199</t>
  </si>
  <si>
    <t>H200</t>
  </si>
  <si>
    <t>Kogiso, T., Hirose, K., Takahashi (1998)</t>
  </si>
  <si>
    <t>KH-5</t>
  </si>
  <si>
    <t>1KH-39</t>
  </si>
  <si>
    <t>KH-7</t>
  </si>
  <si>
    <t>Falloon, T.J., Danyushevsky, L.V., Green, D.H. (2001)</t>
  </si>
  <si>
    <t>T-4125</t>
  </si>
  <si>
    <t>T-3981</t>
  </si>
  <si>
    <t>T-3980</t>
  </si>
  <si>
    <t>T-4126</t>
  </si>
  <si>
    <t>T-4271</t>
  </si>
  <si>
    <t>Falloon, T.J., Green, D.H., Danyushevsky, L.V., Faul, U.H. (1999)</t>
  </si>
  <si>
    <t>Gaetani, G.A., Grove, T.L. (1998)</t>
  </si>
  <si>
    <t>B304</t>
  </si>
  <si>
    <t>B333</t>
  </si>
  <si>
    <t>T(C ) Eqn 5</t>
  </si>
  <si>
    <t>Kf</t>
  </si>
  <si>
    <t>Eqn 38</t>
  </si>
  <si>
    <t>Bartels, K.S., Kinzler, R.J., Grove, T.L. (1991)</t>
  </si>
  <si>
    <t>HI 97</t>
  </si>
  <si>
    <t>H192</t>
  </si>
  <si>
    <t>Blatter, D.W., Carmichael, I.S.E. (2001)</t>
  </si>
  <si>
    <t>Z-342-02</t>
  </si>
  <si>
    <t>Z-342-21</t>
  </si>
  <si>
    <t>A-13</t>
  </si>
  <si>
    <t>Bulatov, V.K., Girnis, A.V., Brey, G.P. (2002)</t>
  </si>
  <si>
    <t>A-12</t>
  </si>
  <si>
    <t>R</t>
  </si>
  <si>
    <t>NOTE: WOOD AND BANNO AND WELLS MODELS WORK BETTER IF USE Al-TOT</t>
  </si>
  <si>
    <t>INSTEAD OF Al(VI) FOR CALC OF a(En)-cpx, and use Al(VI) for calc of a(En)-opx</t>
  </si>
  <si>
    <t>SiO2</t>
  </si>
  <si>
    <t>TiO2</t>
  </si>
  <si>
    <t>Al2O3</t>
  </si>
  <si>
    <t>FeO</t>
  </si>
  <si>
    <t>MnO</t>
  </si>
  <si>
    <t>MgO</t>
  </si>
  <si>
    <t>CaO</t>
  </si>
  <si>
    <t>Na2O</t>
  </si>
  <si>
    <t>K2O</t>
  </si>
  <si>
    <t>Cr2O3</t>
  </si>
  <si>
    <t>Models</t>
  </si>
  <si>
    <t>Wood and Banno Activities (mole fractions)</t>
  </si>
  <si>
    <t>Clinopyroxene</t>
  </si>
  <si>
    <t>Remaining M1 and M2sites</t>
  </si>
  <si>
    <t>Enter Clinopyroxene Composition Here</t>
  </si>
  <si>
    <t>Enter Orthopyroxene Composition Here</t>
  </si>
  <si>
    <t>P(kbar)</t>
  </si>
  <si>
    <t>T(C )</t>
  </si>
  <si>
    <t>For Calculation inputs - iterative</t>
  </si>
  <si>
    <t>Orthopyroxene</t>
  </si>
  <si>
    <t>Orthpyroxene</t>
  </si>
  <si>
    <t>Nickel and Brey (1984)</t>
  </si>
  <si>
    <t>Sen and Jones (1989)</t>
  </si>
  <si>
    <t>Wood and Banno (1973)</t>
  </si>
  <si>
    <t>Sen (1985)</t>
  </si>
  <si>
    <t>Mercier et al. (1984)</t>
  </si>
  <si>
    <t>Carlson and Lindsley (1988)</t>
  </si>
  <si>
    <t>Brey and Kohler (1990)</t>
  </si>
  <si>
    <t>Wells (1977)</t>
  </si>
  <si>
    <t>Mole Proportions</t>
  </si>
  <si>
    <t>Numers of oxygens</t>
  </si>
  <si>
    <t>Cations on the basis of 6 oxygens</t>
  </si>
  <si>
    <t>Lindley</t>
  </si>
  <si>
    <t>Droop</t>
  </si>
  <si>
    <t>Fodor and Galar (1997) Natural Compositions</t>
  </si>
  <si>
    <t xml:space="preserve"> (to be filled by Fe and Mg)</t>
  </si>
  <si>
    <t>use all Mg</t>
  </si>
  <si>
    <t>OPX COMPONENTS</t>
  </si>
  <si>
    <t>Wood and Banno</t>
  </si>
  <si>
    <t>Nickel et al. 1985</t>
  </si>
  <si>
    <t>Use FmO</t>
  </si>
  <si>
    <t>Use Mg only</t>
  </si>
  <si>
    <t>KD1</t>
  </si>
  <si>
    <t>KD2</t>
  </si>
  <si>
    <t>Eqn. 32 modified</t>
  </si>
  <si>
    <t>Cpx-only</t>
  </si>
  <si>
    <t>Nimis and Taylor  (2000)</t>
  </si>
  <si>
    <t>T(C )</t>
  </si>
  <si>
    <t>P(kbar)</t>
  </si>
  <si>
    <t>Index</t>
  </si>
  <si>
    <t>Author (year)</t>
  </si>
  <si>
    <t>T (C)</t>
  </si>
  <si>
    <t>P (GPa)</t>
  </si>
  <si>
    <t>Oxy factor</t>
  </si>
  <si>
    <t>Al(IV)</t>
  </si>
  <si>
    <t>AL(VI)</t>
  </si>
  <si>
    <t>Al (total)</t>
  </si>
  <si>
    <t>Fe3+</t>
  </si>
  <si>
    <t>Jd</t>
  </si>
  <si>
    <t>CaTs</t>
  </si>
  <si>
    <t>CaTi</t>
  </si>
  <si>
    <t>CrCaTs</t>
  </si>
  <si>
    <t>DiHd (1996)</t>
  </si>
  <si>
    <t>EnFs</t>
  </si>
  <si>
    <t>En</t>
  </si>
  <si>
    <t>Di</t>
  </si>
  <si>
    <t>Comp sum</t>
  </si>
  <si>
    <t>DiHd (2003)</t>
  </si>
  <si>
    <t>Mg# cpx</t>
  </si>
  <si>
    <t>Fe2+</t>
  </si>
  <si>
    <t>a(En)-cpx</t>
  </si>
  <si>
    <r>
      <t>K</t>
    </r>
    <r>
      <rPr>
        <vertAlign val="subscript"/>
        <sz val="10"/>
        <rFont val="Verdana"/>
        <family val="0"/>
      </rPr>
      <t>D</t>
    </r>
    <r>
      <rPr>
        <sz val="10"/>
        <rFont val="Verdana"/>
        <family val="0"/>
      </rPr>
      <t>(Fe-Mg)</t>
    </r>
  </si>
  <si>
    <t>1) INPUT required in GRAY columns (C, G - P, and R - AA)</t>
  </si>
  <si>
    <t>3) Test for two-pyroxene equilibrium, column AI</t>
  </si>
  <si>
    <t>a(Di)-cpx</t>
  </si>
  <si>
    <t>X(En)</t>
  </si>
  <si>
    <t>NaAlSi2O6</t>
  </si>
  <si>
    <t>FmTiAlSiO6</t>
  </si>
  <si>
    <t>CrAl2SiO6</t>
  </si>
  <si>
    <t>FmAl2SiO6</t>
  </si>
  <si>
    <t>CaFmSi2O6</t>
  </si>
  <si>
    <t>Fm2Si2O6</t>
  </si>
  <si>
    <t>a(En)-opx</t>
  </si>
  <si>
    <t>a(Di)-opx</t>
  </si>
  <si>
    <t>X(Fe)opx</t>
  </si>
  <si>
    <t>comp sum</t>
  </si>
  <si>
    <t>KD</t>
  </si>
  <si>
    <t>T(A)</t>
  </si>
  <si>
    <t xml:space="preserve">T(A) </t>
  </si>
  <si>
    <t xml:space="preserve">T(B) </t>
  </si>
  <si>
    <t>T(B)</t>
  </si>
  <si>
    <t>P(kbar) 1</t>
  </si>
  <si>
    <t>P(kbar) 2</t>
  </si>
  <si>
    <t>WG1cpx</t>
  </si>
  <si>
    <t>WG2cpx</t>
  </si>
  <si>
    <t>WGOen</t>
  </si>
  <si>
    <t>TA</t>
  </si>
  <si>
    <t>TB</t>
  </si>
  <si>
    <t>T(BKN)</t>
  </si>
  <si>
    <t>Tca-in-opx</t>
  </si>
  <si>
    <t>T(D-Na)</t>
  </si>
  <si>
    <t>Experiment/Sample</t>
  </si>
  <si>
    <t>FeOt</t>
  </si>
  <si>
    <t>Clinopyroxene Composition - in Weight Percent</t>
  </si>
  <si>
    <t>Orthopyroxene Composition - in Weight Percent</t>
  </si>
  <si>
    <t>Eqn 39</t>
  </si>
  <si>
    <t>Cpx Components</t>
  </si>
  <si>
    <t>Eqn 36</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</si>
</sst>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s>
  <fonts count="25">
    <font>
      <sz val="10"/>
      <name val="Verdana"/>
      <family val="0"/>
    </font>
    <font>
      <b/>
      <sz val="10"/>
      <name val="Verdana"/>
      <family val="0"/>
    </font>
    <font>
      <i/>
      <sz val="10"/>
      <name val="Verdana"/>
      <family val="0"/>
    </font>
    <font>
      <b/>
      <i/>
      <sz val="10"/>
      <name val="Verdana"/>
      <family val="0"/>
    </font>
    <font>
      <sz val="8"/>
      <name val="Verdana"/>
      <family val="0"/>
    </font>
    <font>
      <sz val="12"/>
      <name val="Verdana"/>
      <family val="0"/>
    </font>
    <font>
      <u val="single"/>
      <sz val="10"/>
      <color indexed="12"/>
      <name val="Verdana"/>
      <family val="0"/>
    </font>
    <font>
      <u val="single"/>
      <sz val="10"/>
      <color indexed="61"/>
      <name val="Verdana"/>
      <family val="0"/>
    </font>
    <font>
      <b/>
      <sz val="14"/>
      <name val="Verdana"/>
      <family val="0"/>
    </font>
    <font>
      <b/>
      <sz val="18"/>
      <color indexed="8"/>
      <name val="Verdana"/>
      <family val="0"/>
    </font>
    <font>
      <sz val="10"/>
      <color indexed="8"/>
      <name val="Verdana"/>
      <family val="0"/>
    </font>
    <font>
      <sz val="18"/>
      <color indexed="8"/>
      <name val="Verdana"/>
      <family val="0"/>
    </font>
    <font>
      <sz val="14"/>
      <color indexed="8"/>
      <name val="Verdana"/>
      <family val="0"/>
    </font>
    <font>
      <sz val="11"/>
      <color indexed="8"/>
      <name val="Verdana"/>
      <family val="0"/>
    </font>
    <font>
      <b/>
      <sz val="11"/>
      <color indexed="8"/>
      <name val="Verdana"/>
      <family val="0"/>
    </font>
    <font>
      <vertAlign val="subscript"/>
      <sz val="10"/>
      <name val="Verdana"/>
      <family val="0"/>
    </font>
    <font>
      <b/>
      <vertAlign val="subscript"/>
      <sz val="10"/>
      <name val="Verdana"/>
      <family val="0"/>
    </font>
    <font>
      <b/>
      <i/>
      <sz val="16"/>
      <color indexed="8"/>
      <name val="Calibri"/>
      <family val="0"/>
    </font>
    <font>
      <sz val="11"/>
      <color indexed="8"/>
      <name val="Calibri"/>
      <family val="0"/>
    </font>
    <font>
      <sz val="12"/>
      <color indexed="8"/>
      <name val="Calibri"/>
      <family val="0"/>
    </font>
    <font>
      <u val="single"/>
      <sz val="12"/>
      <color indexed="8"/>
      <name val="Calibri"/>
      <family val="0"/>
    </font>
    <font>
      <b/>
      <sz val="12"/>
      <name val="Verdana"/>
      <family val="0"/>
    </font>
    <font>
      <sz val="9"/>
      <name val="Verdana"/>
      <family val="0"/>
    </font>
    <font>
      <b/>
      <sz val="9"/>
      <name val="Verdana"/>
      <family val="0"/>
    </font>
    <font>
      <b/>
      <sz val="8"/>
      <name val="Verdana"/>
      <family val="2"/>
    </font>
  </fonts>
  <fills count="4">
    <fill>
      <patternFill/>
    </fill>
    <fill>
      <patternFill patternType="gray125"/>
    </fill>
    <fill>
      <patternFill patternType="solid">
        <fgColor indexed="22"/>
        <bgColor indexed="64"/>
      </patternFill>
    </fill>
    <fill>
      <patternFill patternType="solid">
        <fgColor indexed="44"/>
        <bgColor indexed="64"/>
      </patternFill>
    </fill>
  </fills>
  <borders count="16">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style="thin"/>
      <right style="thin"/>
      <top style="thin"/>
      <bottom>
        <color indexed="6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5" fillId="0" borderId="0">
      <alignment/>
      <protection/>
    </xf>
    <xf numFmtId="0" fontId="5" fillId="0" borderId="0">
      <alignment/>
      <protection/>
    </xf>
    <xf numFmtId="9" fontId="0" fillId="0" borderId="0" applyFont="0" applyFill="0" applyBorder="0" applyAlignment="0" applyProtection="0"/>
  </cellStyleXfs>
  <cellXfs count="57">
    <xf numFmtId="0" fontId="0" fillId="0" borderId="0" xfId="0" applyAlignment="1">
      <alignment/>
    </xf>
    <xf numFmtId="0" fontId="0" fillId="0" borderId="0" xfId="0" applyFont="1" applyFill="1" applyAlignment="1">
      <alignment/>
    </xf>
    <xf numFmtId="0" fontId="0" fillId="0" borderId="0" xfId="0" applyFont="1" applyFill="1" applyAlignment="1">
      <alignment horizontal="center"/>
    </xf>
    <xf numFmtId="0" fontId="0" fillId="0" borderId="1" xfId="0" applyFont="1" applyFill="1" applyBorder="1" applyAlignment="1">
      <alignment/>
    </xf>
    <xf numFmtId="164" fontId="0" fillId="0" borderId="2" xfId="0" applyNumberFormat="1" applyFont="1" applyFill="1" applyBorder="1" applyAlignment="1">
      <alignment/>
    </xf>
    <xf numFmtId="0" fontId="0" fillId="0" borderId="2" xfId="0" applyFont="1" applyFill="1" applyBorder="1" applyAlignment="1">
      <alignment/>
    </xf>
    <xf numFmtId="0" fontId="0" fillId="0" borderId="2" xfId="0" applyFont="1" applyFill="1" applyBorder="1" applyAlignment="1">
      <alignment horizontal="center"/>
    </xf>
    <xf numFmtId="0" fontId="0" fillId="0" borderId="3" xfId="0" applyFont="1" applyFill="1" applyBorder="1" applyAlignment="1">
      <alignment horizontal="center"/>
    </xf>
    <xf numFmtId="0" fontId="0" fillId="0" borderId="0" xfId="0" applyFont="1" applyFill="1" applyBorder="1" applyAlignment="1">
      <alignment horizontal="center"/>
    </xf>
    <xf numFmtId="0" fontId="0" fillId="0" borderId="1" xfId="0" applyFont="1" applyFill="1" applyBorder="1" applyAlignment="1">
      <alignment horizontal="left"/>
    </xf>
    <xf numFmtId="0" fontId="0" fillId="0" borderId="4" xfId="0" applyFont="1" applyFill="1" applyBorder="1" applyAlignment="1">
      <alignment/>
    </xf>
    <xf numFmtId="0" fontId="0" fillId="0" borderId="0" xfId="0" applyFont="1" applyFill="1" applyBorder="1" applyAlignment="1">
      <alignment/>
    </xf>
    <xf numFmtId="0" fontId="0" fillId="0" borderId="5" xfId="0" applyFont="1" applyFill="1" applyBorder="1" applyAlignment="1">
      <alignment horizontal="center"/>
    </xf>
    <xf numFmtId="0" fontId="0" fillId="0" borderId="4" xfId="0" applyFont="1" applyFill="1" applyBorder="1" applyAlignment="1">
      <alignment horizontal="left"/>
    </xf>
    <xf numFmtId="0" fontId="0" fillId="0" borderId="3" xfId="0" applyFont="1" applyFill="1" applyBorder="1" applyAlignment="1">
      <alignment/>
    </xf>
    <xf numFmtId="164" fontId="0" fillId="0" borderId="0" xfId="0" applyNumberFormat="1" applyFont="1" applyFill="1" applyAlignment="1">
      <alignment/>
    </xf>
    <xf numFmtId="0" fontId="0" fillId="0" borderId="6" xfId="0" applyFont="1" applyFill="1" applyBorder="1" applyAlignment="1">
      <alignment horizontal="center"/>
    </xf>
    <xf numFmtId="0" fontId="0" fillId="0" borderId="7" xfId="0" applyFont="1" applyFill="1" applyBorder="1" applyAlignment="1">
      <alignment horizontal="center"/>
    </xf>
    <xf numFmtId="0" fontId="0" fillId="0" borderId="8" xfId="0" applyFont="1" applyFill="1" applyBorder="1" applyAlignment="1">
      <alignment horizontal="center"/>
    </xf>
    <xf numFmtId="0" fontId="0" fillId="0" borderId="6" xfId="0" applyFont="1" applyFill="1" applyBorder="1" applyAlignment="1">
      <alignment/>
    </xf>
    <xf numFmtId="0" fontId="0" fillId="0" borderId="7" xfId="0" applyFont="1" applyFill="1" applyBorder="1" applyAlignment="1">
      <alignment/>
    </xf>
    <xf numFmtId="0" fontId="0" fillId="0" borderId="8" xfId="0" applyFont="1" applyFill="1" applyBorder="1" applyAlignment="1">
      <alignment/>
    </xf>
    <xf numFmtId="164" fontId="0" fillId="0" borderId="0" xfId="0" applyNumberFormat="1" applyFont="1" applyFill="1" applyAlignment="1">
      <alignment horizontal="center"/>
    </xf>
    <xf numFmtId="0" fontId="0" fillId="2" borderId="0" xfId="0" applyFont="1" applyFill="1" applyAlignment="1">
      <alignment horizontal="center"/>
    </xf>
    <xf numFmtId="0" fontId="0" fillId="3" borderId="0" xfId="0" applyFont="1" applyFill="1" applyAlignment="1">
      <alignment/>
    </xf>
    <xf numFmtId="0" fontId="8" fillId="3" borderId="7" xfId="0" applyFont="1" applyFill="1" applyBorder="1" applyAlignment="1">
      <alignment/>
    </xf>
    <xf numFmtId="0" fontId="0" fillId="3" borderId="7" xfId="0" applyFont="1" applyFill="1" applyBorder="1" applyAlignment="1">
      <alignment/>
    </xf>
    <xf numFmtId="165" fontId="0" fillId="3" borderId="0" xfId="0" applyNumberFormat="1" applyFont="1" applyFill="1" applyAlignment="1">
      <alignment horizontal="center"/>
    </xf>
    <xf numFmtId="165" fontId="0" fillId="3" borderId="7" xfId="0" applyNumberFormat="1" applyFont="1" applyFill="1" applyBorder="1" applyAlignment="1">
      <alignment horizontal="center"/>
    </xf>
    <xf numFmtId="165" fontId="0" fillId="3" borderId="0" xfId="0" applyNumberFormat="1" applyFont="1" applyFill="1" applyBorder="1" applyAlignment="1">
      <alignment horizontal="center"/>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13" fillId="0" borderId="0" xfId="0" applyFont="1" applyFill="1" applyAlignment="1">
      <alignment horizontal="left"/>
    </xf>
    <xf numFmtId="0" fontId="13" fillId="0" borderId="0" xfId="0" applyFont="1" applyFill="1" applyAlignment="1">
      <alignment horizontal="center"/>
    </xf>
    <xf numFmtId="0" fontId="10" fillId="0" borderId="9" xfId="0" applyFont="1" applyFill="1" applyBorder="1" applyAlignment="1">
      <alignment/>
    </xf>
    <xf numFmtId="0" fontId="10" fillId="0" borderId="10" xfId="0" applyFont="1" applyFill="1" applyBorder="1" applyAlignment="1">
      <alignment/>
    </xf>
    <xf numFmtId="0" fontId="14" fillId="2" borderId="0" xfId="0" applyFont="1" applyFill="1" applyAlignment="1">
      <alignment horizontal="left"/>
    </xf>
    <xf numFmtId="0" fontId="13" fillId="2" borderId="0" xfId="0" applyFont="1" applyFill="1" applyAlignment="1">
      <alignment/>
    </xf>
    <xf numFmtId="0" fontId="14" fillId="2" borderId="7" xfId="0" applyFont="1" applyFill="1" applyBorder="1" applyAlignment="1">
      <alignment horizontal="center"/>
    </xf>
    <xf numFmtId="0" fontId="0" fillId="0" borderId="7" xfId="0" applyFont="1" applyFill="1" applyBorder="1" applyAlignment="1">
      <alignment horizontal="left"/>
    </xf>
    <xf numFmtId="166" fontId="0" fillId="3" borderId="0" xfId="0" applyNumberFormat="1" applyFont="1" applyFill="1" applyAlignment="1">
      <alignment horizontal="center"/>
    </xf>
    <xf numFmtId="165" fontId="0" fillId="0" borderId="0" xfId="0" applyNumberFormat="1" applyFont="1" applyFill="1" applyBorder="1" applyAlignment="1">
      <alignment horizontal="center"/>
    </xf>
    <xf numFmtId="166" fontId="0" fillId="0" borderId="0" xfId="0" applyNumberFormat="1" applyFont="1" applyFill="1" applyAlignment="1">
      <alignment horizontal="center"/>
    </xf>
    <xf numFmtId="0" fontId="0" fillId="3" borderId="0" xfId="0" applyFont="1" applyFill="1" applyAlignment="1">
      <alignment horizontal="center"/>
    </xf>
    <xf numFmtId="0" fontId="0" fillId="2" borderId="7" xfId="0" applyFont="1" applyFill="1" applyBorder="1" applyAlignment="1">
      <alignment horizontal="center"/>
    </xf>
    <xf numFmtId="0" fontId="12" fillId="0" borderId="11" xfId="0" applyFont="1" applyFill="1" applyBorder="1" applyAlignment="1">
      <alignment/>
    </xf>
    <xf numFmtId="0" fontId="13" fillId="0" borderId="12" xfId="0" applyFont="1" applyFill="1" applyBorder="1" applyAlignment="1">
      <alignment horizontal="center"/>
    </xf>
    <xf numFmtId="0" fontId="14" fillId="2" borderId="0" xfId="0" applyFont="1" applyFill="1" applyBorder="1" applyAlignment="1">
      <alignment horizontal="center"/>
    </xf>
    <xf numFmtId="165" fontId="0" fillId="2" borderId="0" xfId="0" applyNumberFormat="1" applyFont="1" applyFill="1" applyAlignment="1">
      <alignment horizontal="center"/>
    </xf>
    <xf numFmtId="0" fontId="1" fillId="2" borderId="13" xfId="0" applyFont="1" applyFill="1" applyBorder="1" applyAlignment="1">
      <alignment/>
    </xf>
    <xf numFmtId="0" fontId="1" fillId="2" borderId="14" xfId="0" applyFont="1" applyFill="1" applyBorder="1" applyAlignment="1">
      <alignment/>
    </xf>
    <xf numFmtId="0" fontId="1" fillId="3" borderId="0" xfId="0" applyFont="1" applyFill="1" applyAlignment="1">
      <alignment horizontal="center"/>
    </xf>
    <xf numFmtId="0" fontId="21" fillId="3" borderId="0" xfId="0" applyFont="1" applyFill="1" applyAlignment="1">
      <alignment horizontal="center"/>
    </xf>
    <xf numFmtId="0" fontId="0" fillId="0" borderId="15" xfId="0" applyFont="1" applyFill="1" applyBorder="1" applyAlignment="1">
      <alignment horizontal="center"/>
    </xf>
    <xf numFmtId="165" fontId="0" fillId="0" borderId="0" xfId="0" applyNumberFormat="1" applyFont="1" applyFill="1"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Sheet1" xfId="21"/>
    <cellStyle name="Normal_Sheet2"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2</xdr:row>
      <xdr:rowOff>0</xdr:rowOff>
    </xdr:from>
    <xdr:to>
      <xdr:col>10</xdr:col>
      <xdr:colOff>600075</xdr:colOff>
      <xdr:row>43</xdr:row>
      <xdr:rowOff>133350</xdr:rowOff>
    </xdr:to>
    <xdr:sp>
      <xdr:nvSpPr>
        <xdr:cNvPr id="1" name="TextBox 1"/>
        <xdr:cNvSpPr txBox="1">
          <a:spLocks noChangeArrowheads="1"/>
        </xdr:cNvSpPr>
      </xdr:nvSpPr>
      <xdr:spPr>
        <a:xfrm>
          <a:off x="638175" y="323850"/>
          <a:ext cx="8343900" cy="67722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600" b="1" i="1" u="none" baseline="0">
              <a:solidFill>
                <a:srgbClr val="000000"/>
              </a:solidFill>
              <a:latin typeface="Calibri"/>
              <a:ea typeface="Calibri"/>
              <a:cs typeface="Calibri"/>
            </a:rPr>
            <a:t>Instructions for Estimating P and T Using Two-Pyroxene-based Thermometers
</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For details and references see: Putirka, K. (2008) Thermometers and Barometers for Volcanic Systems. In: Putirka, K., Tepley, F. (Eds.), Minerals, Inclusions and Volcanic Processes, Reviews in Mineralogy and Geochemistry, Mineralogical Soc. Am., v. 69, pp. 61-120.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Input
</a:t>
          </a:r>
          <a:r>
            <a:rPr lang="en-US" cap="none" sz="1200" b="0" i="0" u="none" baseline="0">
              <a:solidFill>
                <a:srgbClr val="000000"/>
              </a:solidFill>
              <a:latin typeface="Calibri"/>
              <a:ea typeface="Calibri"/>
              <a:cs typeface="Calibri"/>
            </a:rPr>
            <a:t>Enter a clinopyroxene composition in columns G – P and an orthopyroxene composition in columns R – AA.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Settings
</a:t>
          </a:r>
          <a:r>
            <a:rPr lang="en-US" cap="none" sz="1200" b="0" i="0" u="none" baseline="0">
              <a:solidFill>
                <a:srgbClr val="000000"/>
              </a:solidFill>
              <a:latin typeface="Calibri"/>
              <a:ea typeface="Calibri"/>
              <a:cs typeface="Calibri"/>
            </a:rPr>
            <a:t>In this workbook, most thermometers are P-sensitive and most barometers are T-sensitive. Two equations can be solved simultaneously to arrive at P and T, which is accomplished here by using the output of one model as input for another. To work, you must make certain that under Excel – Preferences – Calculations, that “Iterative” calculations are allowed, otherwise Excel will report a “Circular reference” error.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P-T calculations
</a:t>
          </a:r>
          <a:r>
            <a:rPr lang="en-US" cap="none" sz="1200" b="0" i="0" u="none" baseline="0">
              <a:solidFill>
                <a:srgbClr val="000000"/>
              </a:solidFill>
              <a:latin typeface="Calibri"/>
              <a:ea typeface="Calibri"/>
              <a:cs typeface="Calibri"/>
            </a:rPr>
            <a:t>A thermometer by Brey and Kohler (1990) is shown in column AF. Two thermometers from the RiMG volume are shown in columns AH and AI. All these thermometers are P-sensitive and for input, use the P values entered in column AD. Column AD is set as a default to be the P calculated using equation 39, appearing in column AK. The two barometers from the RiMG volume 69 are given in columns AJ and AK, and both are T sensitive, using as input the T that is in column AC, which is from column AH (so in columns AC and AD these are the effective output when Eqns. 36 and 39 are solved simultaneously. The barometer of Eqn. 38 (AJ) is independent of T). To solve different models differently, change the reference of cells AC and AD. (For example, if you want to know the result when the T from Brey and Kohler is paired with Eqn. 38, then in cell AC16 type “=AF16” and in cell AD16 type “=AJ16” (without the quotation marks).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Tests for equilibrium
</a:t>
          </a:r>
          <a:r>
            <a:rPr lang="en-US" cap="none" sz="1200" b="0" i="0" u="none" baseline="0">
              <a:solidFill>
                <a:srgbClr val="000000"/>
              </a:solidFill>
              <a:latin typeface="Calibri"/>
              <a:ea typeface="Calibri"/>
              <a:cs typeface="Calibri"/>
            </a:rPr>
            <a:t>The best test is to compare T or P estimates from independent equilibria; if such T and/or P estimates are within, say 1 standard deviation, chances are good that that the estimates are valid. Having said that, oftentimes such calculations are not possible. And even when they are, it is a good idea to test whether the phases in question are in equilibrium.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For orthopyroxene-liquid equilibrium, the test is very similar to the very familiar test proposed by Roeder and Emslie (1970) using the Fe-Mg exchange coefficient. The observed coefficient is given in column AL (assuming all Fe in both pyroxenes is Fe2+). The putative equilibrium value is 1.09±0.14.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1"/>
  <sheetViews>
    <sheetView workbookViewId="0" topLeftCell="A11">
      <selection activeCell="F52" sqref="F52"/>
    </sheetView>
  </sheetViews>
  <sheetFormatPr defaultColWidth="11.00390625" defaultRowHeight="12.75"/>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GE46"/>
  <sheetViews>
    <sheetView tabSelected="1" workbookViewId="0" topLeftCell="V6">
      <selection activeCell="Z10" sqref="Z10"/>
    </sheetView>
  </sheetViews>
  <sheetFormatPr defaultColWidth="11.00390625" defaultRowHeight="12.75"/>
  <cols>
    <col min="1" max="1" width="47.375" style="1" customWidth="1"/>
    <col min="2" max="2" width="10.75390625" style="1" customWidth="1"/>
    <col min="3" max="3" width="18.625" style="1" customWidth="1"/>
    <col min="4" max="4" width="10.75390625" style="2" customWidth="1"/>
    <col min="5" max="5" width="4.25390625" style="2" customWidth="1"/>
    <col min="6" max="6" width="10.75390625" style="1" customWidth="1"/>
    <col min="7" max="8" width="10.75390625" style="2" customWidth="1"/>
    <col min="9" max="9" width="19.25390625" style="2" customWidth="1"/>
    <col min="10" max="16" width="10.75390625" style="2" customWidth="1"/>
    <col min="17" max="17" width="10.75390625" style="1" customWidth="1"/>
    <col min="18" max="21" width="14.625" style="1" customWidth="1"/>
    <col min="22" max="28" width="10.75390625" style="1" customWidth="1"/>
    <col min="29" max="29" width="12.25390625" style="1" customWidth="1"/>
    <col min="30" max="30" width="16.00390625" style="1" customWidth="1"/>
    <col min="31" max="31" width="10.75390625" style="1" customWidth="1"/>
    <col min="32" max="32" width="20.125" style="1" customWidth="1"/>
    <col min="33" max="33" width="3.875" style="1" customWidth="1"/>
    <col min="34" max="37" width="13.25390625" style="1" customWidth="1"/>
    <col min="38" max="38" width="14.75390625" style="1" customWidth="1"/>
    <col min="39" max="39" width="21.75390625" style="1" customWidth="1"/>
    <col min="40" max="40" width="10.75390625" style="1" customWidth="1"/>
    <col min="41" max="41" width="10.625" style="1" customWidth="1"/>
    <col min="42" max="67" width="10.75390625" style="1" customWidth="1"/>
    <col min="68" max="79" width="10.75390625" style="2" customWidth="1"/>
    <col min="80" max="92" width="10.75390625" style="1" customWidth="1"/>
    <col min="93" max="93" width="1.25" style="1" customWidth="1"/>
    <col min="94" max="96" width="10.75390625" style="1" customWidth="1"/>
    <col min="97" max="98" width="12.25390625" style="2" customWidth="1"/>
    <col min="99" max="99" width="24.375" style="2" customWidth="1"/>
    <col min="100" max="124" width="10.75390625" style="1" customWidth="1"/>
    <col min="125" max="136" width="10.75390625" style="2" customWidth="1"/>
    <col min="137" max="145" width="10.75390625" style="1" customWidth="1"/>
    <col min="146" max="146" width="7.25390625" style="1" customWidth="1"/>
    <col min="147" max="147" width="10.75390625" style="1" customWidth="1"/>
    <col min="148" max="148" width="9.875" style="1" customWidth="1"/>
    <col min="149" max="149" width="8.625" style="1" customWidth="1"/>
    <col min="150" max="150" width="7.875" style="1" customWidth="1"/>
    <col min="151" max="151" width="15.00390625" style="1" customWidth="1"/>
    <col min="152" max="152" width="10.75390625" style="1" customWidth="1"/>
    <col min="153" max="153" width="2.00390625" style="1" customWidth="1"/>
    <col min="154" max="154" width="5.125" style="1" customWidth="1"/>
    <col min="155" max="155" width="7.625" style="1" customWidth="1"/>
    <col min="156" max="156" width="2.00390625" style="1" customWidth="1"/>
    <col min="157" max="158" width="10.75390625" style="1" customWidth="1"/>
    <col min="159" max="159" width="1.12109375" style="1" customWidth="1"/>
    <col min="160" max="163" width="10.75390625" style="1" customWidth="1"/>
    <col min="164" max="164" width="8.625" style="1" customWidth="1"/>
    <col min="165" max="166" width="10.75390625" style="1" customWidth="1"/>
    <col min="167" max="167" width="2.125" style="1" customWidth="1"/>
    <col min="168" max="168" width="12.875" style="1" customWidth="1"/>
    <col min="169" max="169" width="10.75390625" style="1" customWidth="1"/>
    <col min="170" max="170" width="3.125" style="1" customWidth="1"/>
    <col min="171" max="172" width="10.75390625" style="1" customWidth="1"/>
    <col min="173" max="173" width="1.875" style="1" customWidth="1"/>
    <col min="174" max="178" width="10.75390625" style="1" customWidth="1"/>
    <col min="179" max="179" width="1.00390625" style="1" customWidth="1"/>
    <col min="180" max="181" width="10.75390625" style="1" customWidth="1"/>
    <col min="182" max="182" width="0.6171875" style="1" customWidth="1"/>
    <col min="183" max="183" width="10.625" style="1" customWidth="1"/>
    <col min="184" max="184" width="2.75390625" style="1" customWidth="1"/>
    <col min="185" max="186" width="6.75390625" style="1" customWidth="1"/>
    <col min="187" max="187" width="10.75390625" style="2" customWidth="1"/>
    <col min="188" max="16384" width="10.75390625" style="1" customWidth="1"/>
  </cols>
  <sheetData>
    <row r="1" spans="1:183" ht="22.5">
      <c r="A1" s="30" t="s">
        <v>5</v>
      </c>
      <c r="FD1" s="1">
        <v>800</v>
      </c>
      <c r="FE1" s="1">
        <f>FD1</f>
        <v>800</v>
      </c>
      <c r="FO1" s="1">
        <v>0</v>
      </c>
      <c r="FP1" s="1">
        <f>FO1</f>
        <v>0</v>
      </c>
      <c r="FR1" s="1" t="s">
        <v>49</v>
      </c>
      <c r="FU1" s="1">
        <v>0.0083143</v>
      </c>
      <c r="GA1" s="1" t="s">
        <v>50</v>
      </c>
    </row>
    <row r="2" ht="12.75">
      <c r="A2" s="31"/>
    </row>
    <row r="3" ht="22.5">
      <c r="A3" s="32" t="s">
        <v>3</v>
      </c>
    </row>
    <row r="4" ht="22.5">
      <c r="A4" s="32" t="s">
        <v>4</v>
      </c>
    </row>
    <row r="5" ht="12.75">
      <c r="A5" s="31"/>
    </row>
    <row r="6" ht="18">
      <c r="A6" s="33" t="s">
        <v>124</v>
      </c>
    </row>
    <row r="7" ht="18">
      <c r="A7" s="33" t="s">
        <v>7</v>
      </c>
    </row>
    <row r="8" ht="18">
      <c r="A8" s="33" t="s">
        <v>125</v>
      </c>
    </row>
    <row r="9" spans="1:183" ht="18">
      <c r="A9" s="33"/>
      <c r="AJ9" s="56"/>
      <c r="AQ9" s="1">
        <v>60.0843</v>
      </c>
      <c r="AR9" s="1">
        <v>79.8788</v>
      </c>
      <c r="AS9" s="1">
        <v>101.961</v>
      </c>
      <c r="AT9" s="1">
        <v>71.8464</v>
      </c>
      <c r="AU9" s="1">
        <v>70.9375</v>
      </c>
      <c r="AV9" s="1">
        <v>40.3044</v>
      </c>
      <c r="AW9" s="1">
        <v>56.0774</v>
      </c>
      <c r="AX9" s="1">
        <v>61.9789</v>
      </c>
      <c r="AY9" s="1">
        <v>94.196</v>
      </c>
      <c r="AZ9" s="1">
        <f>52*2+3*15.9994</f>
        <v>151.9982</v>
      </c>
      <c r="ER9" s="1">
        <f>ER11*ER12</f>
        <v>0.6450669795758555</v>
      </c>
      <c r="FD9" s="1">
        <v>1000</v>
      </c>
      <c r="FE9" s="1">
        <f>FD9</f>
        <v>1000</v>
      </c>
      <c r="FO9" s="1">
        <v>10</v>
      </c>
      <c r="FP9" s="1">
        <f>FO9</f>
        <v>10</v>
      </c>
      <c r="GA9" s="1" t="s">
        <v>51</v>
      </c>
    </row>
    <row r="10" spans="43:172" ht="12.75">
      <c r="AQ10" s="1" t="s">
        <v>52</v>
      </c>
      <c r="AR10" s="1" t="s">
        <v>53</v>
      </c>
      <c r="AS10" s="1" t="s">
        <v>54</v>
      </c>
      <c r="AT10" s="1" t="s">
        <v>55</v>
      </c>
      <c r="AU10" s="1" t="s">
        <v>56</v>
      </c>
      <c r="AV10" s="1" t="s">
        <v>57</v>
      </c>
      <c r="AW10" s="1" t="s">
        <v>58</v>
      </c>
      <c r="AX10" s="1" t="s">
        <v>59</v>
      </c>
      <c r="AY10" s="1" t="s">
        <v>60</v>
      </c>
      <c r="AZ10" s="1" t="s">
        <v>61</v>
      </c>
      <c r="FD10" s="1">
        <v>1200</v>
      </c>
      <c r="FE10" s="1">
        <f>FD10</f>
        <v>1200</v>
      </c>
      <c r="FO10" s="1">
        <v>20</v>
      </c>
      <c r="FP10" s="1">
        <f>FO10</f>
        <v>20</v>
      </c>
    </row>
    <row r="11" spans="32:172" ht="18">
      <c r="AF11" s="25" t="s">
        <v>1</v>
      </c>
      <c r="AG11" s="26"/>
      <c r="AH11" s="26"/>
      <c r="AI11" s="26"/>
      <c r="AJ11" s="26"/>
      <c r="AK11" s="26"/>
      <c r="AL11" s="26"/>
      <c r="AM11" s="26"/>
      <c r="AN11" s="11"/>
      <c r="AO11" s="11"/>
      <c r="ER11" s="1">
        <f>(0.5*EB16)/(0.5*(DZ16-EH16)+EH16+DX16+DV16+EF16+0.5*EB16)</f>
        <v>0.8007570410599417</v>
      </c>
      <c r="FA11" s="1" t="s">
        <v>62</v>
      </c>
      <c r="FD11" s="1">
        <v>1600</v>
      </c>
      <c r="FE11" s="1">
        <f>FD11</f>
        <v>1600</v>
      </c>
      <c r="FO11" s="1">
        <v>70</v>
      </c>
      <c r="FP11" s="1">
        <f>FO11</f>
        <v>70</v>
      </c>
    </row>
    <row r="12" spans="3:148" ht="18">
      <c r="C12"/>
      <c r="D12"/>
      <c r="G12" s="47" t="s">
        <v>66</v>
      </c>
      <c r="H12" s="36"/>
      <c r="I12" s="37"/>
      <c r="J12" s="1"/>
      <c r="K12" s="1"/>
      <c r="L12" s="1"/>
      <c r="M12" s="1"/>
      <c r="N12" s="1"/>
      <c r="O12" s="1"/>
      <c r="P12" s="1"/>
      <c r="R12" s="47" t="s">
        <v>67</v>
      </c>
      <c r="S12" s="36"/>
      <c r="T12" s="37"/>
      <c r="AF12" s="24"/>
      <c r="AG12" s="24"/>
      <c r="AH12" s="24"/>
      <c r="AI12" s="24"/>
      <c r="AJ12" s="24"/>
      <c r="AK12" s="24"/>
      <c r="AL12" s="24"/>
      <c r="AM12" s="54" t="s">
        <v>11</v>
      </c>
      <c r="AO12" s="11"/>
      <c r="CP12" s="3" t="s">
        <v>63</v>
      </c>
      <c r="CQ12" s="4"/>
      <c r="CR12" s="5"/>
      <c r="CS12" s="6"/>
      <c r="CT12" s="7"/>
      <c r="CU12" s="8"/>
      <c r="EP12" s="1">
        <f>EO16*(EB16/(EB16+EA16+DZ16))</f>
        <v>0.7908146903243942</v>
      </c>
      <c r="EQ12" s="1">
        <f>EN16*(EB16/(EB16+EA16+DZ16))</f>
        <v>0.02814210915673056</v>
      </c>
      <c r="ER12" s="1">
        <f>(0.5*EB16/(EC16+0.5*EB16+0.5*(DZ16-EH16)+EA16+ED16))</f>
        <v>0.8055714111761</v>
      </c>
    </row>
    <row r="13" spans="3:183" ht="15.75" thickBot="1">
      <c r="C13"/>
      <c r="D13"/>
      <c r="G13" s="1"/>
      <c r="H13" s="1"/>
      <c r="I13" s="1"/>
      <c r="J13" s="1"/>
      <c r="K13" s="1"/>
      <c r="L13" s="1"/>
      <c r="M13" s="1"/>
      <c r="N13" s="1"/>
      <c r="O13" s="1"/>
      <c r="P13" s="1"/>
      <c r="AF13" s="24" t="s">
        <v>79</v>
      </c>
      <c r="AG13" s="24"/>
      <c r="AH13" s="24" t="s">
        <v>2</v>
      </c>
      <c r="AI13" s="24"/>
      <c r="AJ13" s="24"/>
      <c r="AK13" s="24"/>
      <c r="AL13" s="54" t="s">
        <v>97</v>
      </c>
      <c r="AM13" s="53" t="s">
        <v>12</v>
      </c>
      <c r="AO13" s="11"/>
      <c r="AQ13" s="1" t="s">
        <v>64</v>
      </c>
      <c r="BC13" s="1" t="s">
        <v>64</v>
      </c>
      <c r="BP13" s="9" t="s">
        <v>64</v>
      </c>
      <c r="BQ13" s="6"/>
      <c r="BR13" s="6"/>
      <c r="BS13" s="6"/>
      <c r="BT13" s="6"/>
      <c r="BU13" s="6"/>
      <c r="BV13" s="6"/>
      <c r="BW13" s="6"/>
      <c r="BX13" s="6"/>
      <c r="BY13" s="6"/>
      <c r="BZ13" s="6"/>
      <c r="CA13" s="7"/>
      <c r="CP13" s="10" t="s">
        <v>65</v>
      </c>
      <c r="CQ13" s="11"/>
      <c r="CR13" s="11"/>
      <c r="CS13" s="8"/>
      <c r="CT13" s="12"/>
      <c r="CU13" s="8"/>
      <c r="CV13" s="1" t="s">
        <v>71</v>
      </c>
      <c r="DH13" s="1" t="s">
        <v>72</v>
      </c>
      <c r="DU13" s="9" t="s">
        <v>71</v>
      </c>
      <c r="DV13" s="6"/>
      <c r="DW13" s="6"/>
      <c r="DX13" s="6"/>
      <c r="DY13" s="6"/>
      <c r="DZ13" s="6"/>
      <c r="EA13" s="6"/>
      <c r="EB13" s="6"/>
      <c r="EC13" s="6"/>
      <c r="ED13" s="6"/>
      <c r="EE13" s="6"/>
      <c r="EF13" s="7"/>
      <c r="FD13" s="1" t="s">
        <v>73</v>
      </c>
      <c r="FI13" s="1" t="s">
        <v>74</v>
      </c>
      <c r="FL13" s="1" t="s">
        <v>75</v>
      </c>
      <c r="FM13" s="1" t="s">
        <v>76</v>
      </c>
      <c r="FO13" s="1" t="s">
        <v>77</v>
      </c>
      <c r="FR13" s="1" t="s">
        <v>78</v>
      </c>
      <c r="GA13" s="1" t="s">
        <v>80</v>
      </c>
    </row>
    <row r="14" spans="1:166" ht="15" thickBot="1">
      <c r="A14" s="31" t="s">
        <v>8</v>
      </c>
      <c r="B14" s="34"/>
      <c r="C14" s="48" t="s">
        <v>9</v>
      </c>
      <c r="D14" s="48" t="s">
        <v>9</v>
      </c>
      <c r="E14" s="35"/>
      <c r="F14" s="34" t="s">
        <v>10</v>
      </c>
      <c r="G14" s="38" t="s">
        <v>155</v>
      </c>
      <c r="H14" s="39"/>
      <c r="I14" s="39"/>
      <c r="J14" s="39"/>
      <c r="K14" s="39"/>
      <c r="L14" s="39"/>
      <c r="M14" s="39"/>
      <c r="N14" s="39"/>
      <c r="O14" s="39"/>
      <c r="P14" s="39"/>
      <c r="R14" s="38" t="s">
        <v>156</v>
      </c>
      <c r="S14" s="39"/>
      <c r="T14" s="39"/>
      <c r="U14" s="39"/>
      <c r="V14" s="39"/>
      <c r="W14" s="39"/>
      <c r="X14" s="39"/>
      <c r="Y14" s="39"/>
      <c r="Z14" s="39"/>
      <c r="AA14" s="39"/>
      <c r="AC14" s="51" t="s">
        <v>70</v>
      </c>
      <c r="AD14" s="52"/>
      <c r="AF14" s="27" t="s">
        <v>150</v>
      </c>
      <c r="AG14" s="27"/>
      <c r="AH14" s="27" t="s">
        <v>159</v>
      </c>
      <c r="AI14" s="27" t="s">
        <v>0</v>
      </c>
      <c r="AJ14" s="27" t="s">
        <v>39</v>
      </c>
      <c r="AK14" s="27" t="s">
        <v>157</v>
      </c>
      <c r="AL14" s="27" t="s">
        <v>96</v>
      </c>
      <c r="AM14" s="45" t="s">
        <v>6</v>
      </c>
      <c r="AO14" s="11"/>
      <c r="AQ14" s="1" t="s">
        <v>81</v>
      </c>
      <c r="BC14" s="1" t="s">
        <v>82</v>
      </c>
      <c r="BP14" s="13" t="s">
        <v>83</v>
      </c>
      <c r="BQ14" s="8"/>
      <c r="BR14" s="8"/>
      <c r="BS14" s="8"/>
      <c r="BT14" s="8"/>
      <c r="BU14" s="8"/>
      <c r="BV14" s="8"/>
      <c r="BW14" s="8"/>
      <c r="BX14" s="8"/>
      <c r="BY14" s="8"/>
      <c r="BZ14" s="8"/>
      <c r="CA14" s="12"/>
      <c r="CB14" s="1">
        <f>AVERAGE(CB16:CB712)</f>
        <v>4.000554779965468</v>
      </c>
      <c r="CC14" s="1" t="s">
        <v>84</v>
      </c>
      <c r="CD14" s="1" t="s">
        <v>85</v>
      </c>
      <c r="CE14" s="3" t="s">
        <v>158</v>
      </c>
      <c r="CF14" s="5"/>
      <c r="CG14" s="5"/>
      <c r="CH14" s="5"/>
      <c r="CI14" s="5"/>
      <c r="CJ14" s="5"/>
      <c r="CK14" s="5"/>
      <c r="CL14" s="14"/>
      <c r="CM14" s="1">
        <f>AVERAGE(CM16:CM712)</f>
        <v>0.9990655757167217</v>
      </c>
      <c r="CP14" s="10" t="s">
        <v>87</v>
      </c>
      <c r="CQ14" s="11"/>
      <c r="CR14" s="11"/>
      <c r="CS14" s="8"/>
      <c r="CT14" s="12" t="s">
        <v>88</v>
      </c>
      <c r="CU14" s="55" t="s">
        <v>98</v>
      </c>
      <c r="CV14" s="1" t="s">
        <v>81</v>
      </c>
      <c r="DH14" s="1" t="s">
        <v>82</v>
      </c>
      <c r="DU14" s="13" t="s">
        <v>83</v>
      </c>
      <c r="DV14" s="8"/>
      <c r="DW14" s="8"/>
      <c r="DX14" s="8"/>
      <c r="DY14" s="8"/>
      <c r="DZ14" s="8"/>
      <c r="EA14" s="8"/>
      <c r="EB14" s="8"/>
      <c r="EC14" s="8"/>
      <c r="ED14" s="8"/>
      <c r="EE14" s="8"/>
      <c r="EF14" s="12"/>
      <c r="EG14" s="1">
        <f>AVERAGE(EG16:EG712)</f>
        <v>3.9951125889042487</v>
      </c>
      <c r="EH14" s="1" t="s">
        <v>84</v>
      </c>
      <c r="EI14" s="1" t="s">
        <v>85</v>
      </c>
      <c r="EJ14" s="3" t="s">
        <v>89</v>
      </c>
      <c r="EK14" s="5"/>
      <c r="EL14" s="5"/>
      <c r="EM14" s="5"/>
      <c r="EN14" s="5"/>
      <c r="EO14" s="14"/>
      <c r="ER14" s="3" t="s">
        <v>90</v>
      </c>
      <c r="ES14" s="5"/>
      <c r="ET14" s="5"/>
      <c r="EU14" s="14" t="s">
        <v>88</v>
      </c>
      <c r="EV14" s="15">
        <f>AVERAGE(EV16:EV39)</f>
        <v>0.9975562944521239</v>
      </c>
      <c r="FA14" s="1" t="s">
        <v>91</v>
      </c>
      <c r="FD14" s="1" t="s">
        <v>92</v>
      </c>
      <c r="FE14" s="1" t="s">
        <v>93</v>
      </c>
      <c r="FF14" s="1" t="s">
        <v>92</v>
      </c>
      <c r="FG14" s="1" t="s">
        <v>93</v>
      </c>
      <c r="FI14" s="1" t="s">
        <v>94</v>
      </c>
      <c r="FJ14" s="1" t="s">
        <v>95</v>
      </c>
    </row>
    <row r="15" spans="1:187" ht="14.25">
      <c r="A15" s="20" t="s">
        <v>102</v>
      </c>
      <c r="B15" s="41" t="s">
        <v>153</v>
      </c>
      <c r="C15" s="46" t="s">
        <v>104</v>
      </c>
      <c r="D15" s="17" t="s">
        <v>103</v>
      </c>
      <c r="E15" s="1"/>
      <c r="F15" s="20" t="s">
        <v>101</v>
      </c>
      <c r="G15" s="40" t="s">
        <v>52</v>
      </c>
      <c r="H15" s="40" t="s">
        <v>53</v>
      </c>
      <c r="I15" s="40" t="s">
        <v>54</v>
      </c>
      <c r="J15" s="40" t="s">
        <v>154</v>
      </c>
      <c r="K15" s="40" t="s">
        <v>56</v>
      </c>
      <c r="L15" s="40" t="s">
        <v>57</v>
      </c>
      <c r="M15" s="40" t="s">
        <v>58</v>
      </c>
      <c r="N15" s="40" t="s">
        <v>59</v>
      </c>
      <c r="O15" s="40" t="s">
        <v>60</v>
      </c>
      <c r="P15" s="40" t="s">
        <v>61</v>
      </c>
      <c r="R15" s="40" t="s">
        <v>52</v>
      </c>
      <c r="S15" s="40" t="s">
        <v>53</v>
      </c>
      <c r="T15" s="40" t="s">
        <v>54</v>
      </c>
      <c r="U15" s="40" t="s">
        <v>154</v>
      </c>
      <c r="V15" s="40" t="s">
        <v>56</v>
      </c>
      <c r="W15" s="40" t="s">
        <v>57</v>
      </c>
      <c r="X15" s="40" t="s">
        <v>58</v>
      </c>
      <c r="Y15" s="40" t="s">
        <v>59</v>
      </c>
      <c r="Z15" s="40" t="s">
        <v>60</v>
      </c>
      <c r="AA15" s="40" t="s">
        <v>61</v>
      </c>
      <c r="AC15" s="49" t="s">
        <v>69</v>
      </c>
      <c r="AD15" s="49" t="s">
        <v>68</v>
      </c>
      <c r="AF15" s="28" t="s">
        <v>99</v>
      </c>
      <c r="AG15" s="29"/>
      <c r="AH15" s="28" t="s">
        <v>99</v>
      </c>
      <c r="AI15" s="28" t="s">
        <v>99</v>
      </c>
      <c r="AJ15" s="28" t="s">
        <v>100</v>
      </c>
      <c r="AK15" s="28" t="s">
        <v>100</v>
      </c>
      <c r="AL15" s="28" t="s">
        <v>99</v>
      </c>
      <c r="AM15" s="28" t="s">
        <v>123</v>
      </c>
      <c r="AN15" s="43"/>
      <c r="AO15" s="11" t="s">
        <v>38</v>
      </c>
      <c r="AQ15" s="1" t="s">
        <v>52</v>
      </c>
      <c r="AR15" s="1" t="s">
        <v>53</v>
      </c>
      <c r="AS15" s="1" t="s">
        <v>54</v>
      </c>
      <c r="AT15" s="1" t="s">
        <v>55</v>
      </c>
      <c r="AU15" s="1" t="s">
        <v>56</v>
      </c>
      <c r="AV15" s="1" t="s">
        <v>57</v>
      </c>
      <c r="AW15" s="1" t="s">
        <v>58</v>
      </c>
      <c r="AX15" s="1" t="s">
        <v>59</v>
      </c>
      <c r="AY15" s="1" t="s">
        <v>60</v>
      </c>
      <c r="AZ15" s="1" t="s">
        <v>61</v>
      </c>
      <c r="BC15" s="1" t="s">
        <v>52</v>
      </c>
      <c r="BD15" s="1" t="s">
        <v>53</v>
      </c>
      <c r="BE15" s="1" t="s">
        <v>54</v>
      </c>
      <c r="BF15" s="1" t="s">
        <v>55</v>
      </c>
      <c r="BG15" s="1" t="s">
        <v>56</v>
      </c>
      <c r="BH15" s="1" t="s">
        <v>57</v>
      </c>
      <c r="BI15" s="1" t="s">
        <v>58</v>
      </c>
      <c r="BJ15" s="1" t="s">
        <v>59</v>
      </c>
      <c r="BK15" s="1" t="s">
        <v>60</v>
      </c>
      <c r="BL15" s="1" t="s">
        <v>61</v>
      </c>
      <c r="BN15" s="1" t="s">
        <v>105</v>
      </c>
      <c r="BP15" s="16" t="s">
        <v>52</v>
      </c>
      <c r="BQ15" s="17" t="s">
        <v>53</v>
      </c>
      <c r="BR15" s="17" t="s">
        <v>106</v>
      </c>
      <c r="BS15" s="17" t="s">
        <v>107</v>
      </c>
      <c r="BT15" s="17" t="s">
        <v>108</v>
      </c>
      <c r="BU15" s="17" t="s">
        <v>55</v>
      </c>
      <c r="BV15" s="17" t="s">
        <v>56</v>
      </c>
      <c r="BW15" s="17" t="s">
        <v>57</v>
      </c>
      <c r="BX15" s="17" t="s">
        <v>58</v>
      </c>
      <c r="BY15" s="17" t="s">
        <v>59</v>
      </c>
      <c r="BZ15" s="17" t="s">
        <v>60</v>
      </c>
      <c r="CA15" s="18" t="s">
        <v>61</v>
      </c>
      <c r="CC15" s="1" t="s">
        <v>109</v>
      </c>
      <c r="CD15" s="1" t="s">
        <v>109</v>
      </c>
      <c r="CE15" s="19" t="s">
        <v>110</v>
      </c>
      <c r="CF15" s="20" t="s">
        <v>111</v>
      </c>
      <c r="CG15" s="20" t="s">
        <v>112</v>
      </c>
      <c r="CH15" s="20" t="s">
        <v>113</v>
      </c>
      <c r="CI15" s="20" t="s">
        <v>114</v>
      </c>
      <c r="CJ15" s="20" t="s">
        <v>115</v>
      </c>
      <c r="CK15" s="20" t="s">
        <v>116</v>
      </c>
      <c r="CL15" s="21" t="s">
        <v>117</v>
      </c>
      <c r="CM15" s="1" t="s">
        <v>118</v>
      </c>
      <c r="CN15" s="1" t="s">
        <v>119</v>
      </c>
      <c r="CP15" s="19" t="s">
        <v>120</v>
      </c>
      <c r="CQ15" s="20" t="s">
        <v>121</v>
      </c>
      <c r="CR15" s="20" t="s">
        <v>122</v>
      </c>
      <c r="CS15" s="17" t="s">
        <v>126</v>
      </c>
      <c r="CT15" s="18" t="s">
        <v>127</v>
      </c>
      <c r="CU15" s="17" t="s">
        <v>122</v>
      </c>
      <c r="CV15" s="1" t="s">
        <v>52</v>
      </c>
      <c r="CW15" s="1" t="s">
        <v>53</v>
      </c>
      <c r="CX15" s="1" t="s">
        <v>54</v>
      </c>
      <c r="CY15" s="1" t="s">
        <v>55</v>
      </c>
      <c r="CZ15" s="1" t="s">
        <v>56</v>
      </c>
      <c r="DA15" s="1" t="s">
        <v>57</v>
      </c>
      <c r="DB15" s="1" t="s">
        <v>58</v>
      </c>
      <c r="DC15" s="1" t="s">
        <v>59</v>
      </c>
      <c r="DD15" s="1" t="s">
        <v>60</v>
      </c>
      <c r="DE15" s="1" t="s">
        <v>61</v>
      </c>
      <c r="DH15" s="1" t="s">
        <v>52</v>
      </c>
      <c r="DI15" s="1" t="s">
        <v>53</v>
      </c>
      <c r="DJ15" s="1" t="s">
        <v>54</v>
      </c>
      <c r="DK15" s="1" t="s">
        <v>55</v>
      </c>
      <c r="DL15" s="1" t="s">
        <v>56</v>
      </c>
      <c r="DM15" s="1" t="s">
        <v>57</v>
      </c>
      <c r="DN15" s="1" t="s">
        <v>58</v>
      </c>
      <c r="DO15" s="1" t="s">
        <v>59</v>
      </c>
      <c r="DP15" s="1" t="s">
        <v>60</v>
      </c>
      <c r="DQ15" s="1" t="s">
        <v>61</v>
      </c>
      <c r="DS15" s="1" t="s">
        <v>105</v>
      </c>
      <c r="DU15" s="16" t="s">
        <v>52</v>
      </c>
      <c r="DV15" s="17" t="s">
        <v>53</v>
      </c>
      <c r="DW15" s="17" t="s">
        <v>106</v>
      </c>
      <c r="DX15" s="17" t="s">
        <v>107</v>
      </c>
      <c r="DY15" s="17" t="s">
        <v>108</v>
      </c>
      <c r="DZ15" s="17" t="s">
        <v>55</v>
      </c>
      <c r="EA15" s="17" t="s">
        <v>56</v>
      </c>
      <c r="EB15" s="17" t="s">
        <v>57</v>
      </c>
      <c r="EC15" s="17" t="s">
        <v>58</v>
      </c>
      <c r="ED15" s="17" t="s">
        <v>59</v>
      </c>
      <c r="EE15" s="17" t="s">
        <v>60</v>
      </c>
      <c r="EF15" s="18" t="s">
        <v>61</v>
      </c>
      <c r="EH15" s="1" t="s">
        <v>109</v>
      </c>
      <c r="EI15" s="1" t="s">
        <v>109</v>
      </c>
      <c r="EJ15" s="19" t="s">
        <v>128</v>
      </c>
      <c r="EK15" s="20" t="s">
        <v>129</v>
      </c>
      <c r="EL15" s="20" t="s">
        <v>130</v>
      </c>
      <c r="EM15" s="20" t="s">
        <v>131</v>
      </c>
      <c r="EN15" s="20" t="s">
        <v>132</v>
      </c>
      <c r="EO15" s="21" t="s">
        <v>133</v>
      </c>
      <c r="EP15" s="1" t="s">
        <v>116</v>
      </c>
      <c r="EQ15" s="1" t="s">
        <v>117</v>
      </c>
      <c r="ER15" s="19" t="s">
        <v>134</v>
      </c>
      <c r="ES15" s="20" t="s">
        <v>135</v>
      </c>
      <c r="ET15" s="20" t="s">
        <v>136</v>
      </c>
      <c r="EU15" s="21" t="s">
        <v>127</v>
      </c>
      <c r="EV15" s="1" t="s">
        <v>137</v>
      </c>
      <c r="EX15" s="1" t="s">
        <v>99</v>
      </c>
      <c r="EY15" s="1" t="s">
        <v>100</v>
      </c>
      <c r="FA15" s="1" t="s">
        <v>138</v>
      </c>
      <c r="FB15" s="1" t="s">
        <v>99</v>
      </c>
      <c r="FD15" s="1" t="s">
        <v>139</v>
      </c>
      <c r="FE15" s="1" t="s">
        <v>140</v>
      </c>
      <c r="FF15" s="1" t="s">
        <v>141</v>
      </c>
      <c r="FG15" s="1" t="s">
        <v>142</v>
      </c>
      <c r="FI15" s="1" t="s">
        <v>99</v>
      </c>
      <c r="FJ15" s="1" t="s">
        <v>99</v>
      </c>
      <c r="FL15" s="1" t="s">
        <v>99</v>
      </c>
      <c r="FM15" s="1" t="s">
        <v>99</v>
      </c>
      <c r="FO15" s="1" t="s">
        <v>143</v>
      </c>
      <c r="FP15" s="1" t="s">
        <v>144</v>
      </c>
      <c r="FR15" s="1" t="s">
        <v>145</v>
      </c>
      <c r="FS15" s="1" t="s">
        <v>146</v>
      </c>
      <c r="FT15" s="1" t="s">
        <v>147</v>
      </c>
      <c r="FU15" s="1" t="s">
        <v>148</v>
      </c>
      <c r="FV15" s="1" t="s">
        <v>149</v>
      </c>
      <c r="FX15" s="1" t="s">
        <v>151</v>
      </c>
      <c r="FY15" s="1" t="s">
        <v>152</v>
      </c>
      <c r="GA15" s="1" t="s">
        <v>37</v>
      </c>
      <c r="GE15" s="2" t="s">
        <v>100</v>
      </c>
    </row>
    <row r="16" spans="1:187" ht="12.75">
      <c r="A16" s="1" t="s">
        <v>86</v>
      </c>
      <c r="C16" s="23"/>
      <c r="G16" s="23">
        <v>52.3</v>
      </c>
      <c r="H16" s="23">
        <v>0.7</v>
      </c>
      <c r="I16" s="23">
        <v>3</v>
      </c>
      <c r="J16" s="23">
        <v>5.1</v>
      </c>
      <c r="K16" s="23">
        <v>0.11</v>
      </c>
      <c r="L16" s="23">
        <v>16.6</v>
      </c>
      <c r="M16" s="23">
        <v>21.5</v>
      </c>
      <c r="N16" s="23">
        <v>0.33</v>
      </c>
      <c r="O16" s="23">
        <v>0</v>
      </c>
      <c r="P16" s="23">
        <v>0.58</v>
      </c>
      <c r="R16" s="23">
        <v>55</v>
      </c>
      <c r="S16" s="23">
        <v>0.34</v>
      </c>
      <c r="T16" s="23">
        <v>1.5</v>
      </c>
      <c r="U16" s="23">
        <v>11.3</v>
      </c>
      <c r="V16" s="23">
        <v>0.24</v>
      </c>
      <c r="W16" s="23">
        <v>30.7</v>
      </c>
      <c r="X16" s="23">
        <v>0.9</v>
      </c>
      <c r="Y16" s="23">
        <v>0.01</v>
      </c>
      <c r="Z16" s="23">
        <v>0</v>
      </c>
      <c r="AA16" s="23">
        <v>0.19</v>
      </c>
      <c r="AC16" s="50">
        <f>AH16</f>
        <v>985.3766685154498</v>
      </c>
      <c r="AD16" s="50">
        <f>AK16</f>
        <v>3.3808852332206865</v>
      </c>
      <c r="AF16" s="27">
        <f>-273.15+((23664+(24.9+126.3*BU16/(BU16+BW16))*AD16)/(13.38+(LN((1-BX16/(1-BY16))/(1-EC16/(1-ED16))))^2+11.59*DZ16/(DZ16+EB16)))</f>
        <v>969.4850522013386</v>
      </c>
      <c r="AG16" s="27"/>
      <c r="AH16" s="27">
        <f>10^4/(11.2-1.96*LN(CJ16/EO16)-3.3*BX16-25.8*CH16+33.2*EA16-23.6*ED16-2.08*EP16-8.33*EQ16-0.05*AD16)</f>
        <v>985.3766685154498</v>
      </c>
      <c r="AI16" s="27">
        <f>10^4/(13.4-3.4*LN(CJ16/EO16)+5.59*LN(BW16)+23.85*EA16+6.48*EM16-2.38*CL16-0.044*AD16-8.8*BW16/(BW16+BU16))</f>
        <v>969.2166565763556</v>
      </c>
      <c r="AJ16" s="27">
        <f>-279.8+293*DX16+455*ED16+229*EF16+519*EO16-563*EP16+371*EQ16+327*ER16+1.19/AO16</f>
        <v>2.187906664891848</v>
      </c>
      <c r="AK16" s="27">
        <f>-94.25+0.045*AC16+187.7*DX16+246.8*EO16-212.5*EP16+127.5*ER16-69.4*CJ16-133.9*CS16-1.66/AO16</f>
        <v>3.3808852332206865</v>
      </c>
      <c r="AL16" s="29">
        <f>-273+(93100+755*AD16)/(61.1+36.6*BQ16/4+10.9*BU16/4-0.95*(BR16+BS16+CA16-BY16-BZ16)/4+3.5*LN(CU16)^2)</f>
        <v>968.5214372143789</v>
      </c>
      <c r="AM16" s="42">
        <f>(BU16/BW16)/(DZ16/EB16)</f>
        <v>0.8346838682162275</v>
      </c>
      <c r="AN16" s="44"/>
      <c r="AO16" s="1">
        <f>EC16/(1-BX16)</f>
        <v>0.21602181794080896</v>
      </c>
      <c r="AQ16" s="1">
        <f aca="true" t="shared" si="0" ref="AQ16:AQ39">G16/AQ$9</f>
        <v>0.8704436932776116</v>
      </c>
      <c r="AR16" s="1">
        <f aca="true" t="shared" si="1" ref="AR16:AR39">H16/AR$9</f>
        <v>0.008763276363690991</v>
      </c>
      <c r="AS16" s="1">
        <f aca="true" t="shared" si="2" ref="AS16:AS39">I16/AS$9</f>
        <v>0.029423014682084327</v>
      </c>
      <c r="AT16" s="1">
        <f aca="true" t="shared" si="3" ref="AT16:AT39">J16/AT$9</f>
        <v>0.07098476750400855</v>
      </c>
      <c r="AU16" s="1">
        <f aca="true" t="shared" si="4" ref="AU16:AU39">K16/AU$9</f>
        <v>0.0015506607929515418</v>
      </c>
      <c r="AV16" s="1">
        <f aca="true" t="shared" si="5" ref="AV16:AV39">L16/AV$9</f>
        <v>0.41186570200772127</v>
      </c>
      <c r="AW16" s="1">
        <f aca="true" t="shared" si="6" ref="AW16:AW39">M16/AW$9</f>
        <v>0.3833986597096157</v>
      </c>
      <c r="AX16" s="1">
        <f aca="true" t="shared" si="7" ref="AX16:AX39">N16/AX$9</f>
        <v>0.00532439265621042</v>
      </c>
      <c r="AY16" s="1">
        <f aca="true" t="shared" si="8" ref="AY16:AY39">O16/AY$9</f>
        <v>0</v>
      </c>
      <c r="AZ16" s="1">
        <f aca="true" t="shared" si="9" ref="AZ16:AZ39">P16/AZ$9</f>
        <v>0.0038158346611999352</v>
      </c>
      <c r="BA16" s="1">
        <f aca="true" t="shared" si="10" ref="BA16:BA22">SUM(AQ16:AZ16)</f>
        <v>1.7855700016550942</v>
      </c>
      <c r="BC16" s="15">
        <f aca="true" t="shared" si="11" ref="BC16:BD22">AQ16*2</f>
        <v>1.7408873865552232</v>
      </c>
      <c r="BD16" s="15">
        <f t="shared" si="11"/>
        <v>0.017526552727381982</v>
      </c>
      <c r="BE16" s="15">
        <f aca="true" t="shared" si="12" ref="BE16:BE22">AS16*3</f>
        <v>0.08826904404625298</v>
      </c>
      <c r="BF16" s="15">
        <f aca="true" t="shared" si="13" ref="BF16:BK22">AT16</f>
        <v>0.07098476750400855</v>
      </c>
      <c r="BG16" s="15">
        <f t="shared" si="13"/>
        <v>0.0015506607929515418</v>
      </c>
      <c r="BH16" s="15">
        <f t="shared" si="13"/>
        <v>0.41186570200772127</v>
      </c>
      <c r="BI16" s="15">
        <f t="shared" si="13"/>
        <v>0.3833986597096157</v>
      </c>
      <c r="BJ16" s="15">
        <f t="shared" si="13"/>
        <v>0.00532439265621042</v>
      </c>
      <c r="BK16" s="15">
        <f t="shared" si="13"/>
        <v>0</v>
      </c>
      <c r="BL16" s="15">
        <f aca="true" t="shared" si="14" ref="BL16:BL22">AZ16*3</f>
        <v>0.011447503983599805</v>
      </c>
      <c r="BM16" s="15">
        <f aca="true" t="shared" si="15" ref="BM16:BM22">SUM(BC16:BL16)</f>
        <v>2.7312546699829654</v>
      </c>
      <c r="BN16" s="15">
        <f aca="true" t="shared" si="16" ref="BN16:BN22">6/BM16</f>
        <v>2.196792582523043</v>
      </c>
      <c r="BP16" s="22">
        <f aca="true" t="shared" si="17" ref="BP16:BP39">AQ16*$BN16</f>
        <v>1.91218424889622</v>
      </c>
      <c r="BQ16" s="22">
        <f aca="true" t="shared" si="18" ref="BQ16:BQ39">AR16*$BN16</f>
        <v>0.019251100514355874</v>
      </c>
      <c r="BR16" s="22">
        <f aca="true" t="shared" si="19" ref="BR16:BR22">2-BP16</f>
        <v>0.08781575110378004</v>
      </c>
      <c r="BS16" s="22">
        <f aca="true" t="shared" si="20" ref="BS16:BS22">IF(BT16-BR16&lt;0,0,BT16-BR16)</f>
        <v>0.041456769714358854</v>
      </c>
      <c r="BT16" s="22">
        <f aca="true" t="shared" si="21" ref="BT16:BT39">AS16*$BN16*2</f>
        <v>0.1292725208181389</v>
      </c>
      <c r="BU16" s="22">
        <f aca="true" t="shared" si="22" ref="BU16:BU39">AT16*$BN16</f>
        <v>0.1559388107249287</v>
      </c>
      <c r="BV16" s="22">
        <f aca="true" t="shared" si="23" ref="BV16:BV39">AU16*$BN16</f>
        <v>0.0034064801279652473</v>
      </c>
      <c r="BW16" s="22">
        <f aca="true" t="shared" si="24" ref="BW16:BW39">AV16*$BN16</f>
        <v>0.904783519166208</v>
      </c>
      <c r="BX16" s="22">
        <f aca="true" t="shared" si="25" ref="BX16:BX39">AW16*$BN16</f>
        <v>0.84224733179936</v>
      </c>
      <c r="BY16" s="22">
        <f aca="true" t="shared" si="26" ref="BY16:BY39">AX16*$BN16*2</f>
        <v>0.023393172587206426</v>
      </c>
      <c r="BZ16" s="22">
        <f aca="true" t="shared" si="27" ref="BZ16:BZ39">AY16*$BN16*2</f>
        <v>0</v>
      </c>
      <c r="CA16" s="22">
        <f aca="true" t="shared" si="28" ref="CA16:CA39">AZ16*$BN16*2</f>
        <v>0.016765194559716694</v>
      </c>
      <c r="CB16" s="15">
        <f aca="true" t="shared" si="29" ref="CB16:CB22">BP16+BQ16+BT16+BU16+BV16+BW16+BX16+BY16+BZ16+CA16</f>
        <v>4.0072423791941</v>
      </c>
      <c r="CC16" s="15">
        <f aca="true" t="shared" si="30" ref="CC16:CC22">IF(BY16+BR16-BS16-2*BQ16-CA16&gt;0,BY16+BR16-BS16-2*BQ16-CA16,0)</f>
        <v>0.014484758388199168</v>
      </c>
      <c r="CD16" s="15">
        <f aca="true" t="shared" si="31" ref="CD16:CD22">12-48/CB16</f>
        <v>0.021687869638341795</v>
      </c>
      <c r="CE16" s="15">
        <f aca="true" t="shared" si="32" ref="CE16:CE22">IF(BY16&lt;BS16,BY16,BS16)</f>
        <v>0.023393172587206426</v>
      </c>
      <c r="CF16" s="15">
        <f aca="true" t="shared" si="33" ref="CF16:CF22">IF(BS16&gt;BY16,BS16-BY16,0)</f>
        <v>0.018063597127152428</v>
      </c>
      <c r="CG16" s="15">
        <f aca="true" t="shared" si="34" ref="CG16:CG22">IF(BR16&gt;CF16,(BR16-CF16)/2,0)</f>
        <v>0.034876076988313805</v>
      </c>
      <c r="CH16" s="15">
        <f aca="true" t="shared" si="35" ref="CH16:CH22">CA16/2</f>
        <v>0.008382597279858347</v>
      </c>
      <c r="CI16" s="15">
        <f aca="true" t="shared" si="36" ref="CI16:CI22">IF(BX16-CG16-CF16-CH16&gt;0,BX16-CG16-CF16-CH16,0)</f>
        <v>0.7809250604040353</v>
      </c>
      <c r="CJ16" s="15">
        <f aca="true" t="shared" si="37" ref="CJ16:CJ22">((BU16+BW16)-CI16)/2</f>
        <v>0.13989863474355074</v>
      </c>
      <c r="CK16" s="15">
        <f aca="true" t="shared" si="38" ref="CK16:CK22">CJ16*(BW16/(BW16+BV16+BU16))</f>
        <v>0.11894986572870403</v>
      </c>
      <c r="CL16" s="15">
        <f aca="true" t="shared" si="39" ref="CL16:CL22">CN16*(BW16/(BW16+BV16+BU16))</f>
        <v>0.6639874023754353</v>
      </c>
      <c r="CM16" s="15">
        <f aca="true" t="shared" si="40" ref="CM16:CM22">SUM(CE16:CJ16)</f>
        <v>1.005539139130117</v>
      </c>
      <c r="CN16" s="15">
        <f aca="true" t="shared" si="41" ref="CN16:CN22">BX16-CF16-CG16-CH16</f>
        <v>0.7809250604040353</v>
      </c>
      <c r="CO16" s="15"/>
      <c r="CP16" s="1">
        <f aca="true" t="shared" si="42" ref="CP16:CP22">BW16/(BW16+CQ16)</f>
        <v>0.8647973880984523</v>
      </c>
      <c r="CQ16" s="15">
        <f aca="true" t="shared" si="43" ref="CQ16:CQ22">BU16-CC16</f>
        <v>0.14145405233672953</v>
      </c>
      <c r="CR16" s="15">
        <f aca="true" t="shared" si="44" ref="CR16:CR22">(0.5*BW16/(BX16+0.5*BW16+0.5*(BU16-CC16)+BV16+BY16))*((0.5*BW16)/(CC16+0.5*(BU16-CC16)+BS16+BQ16+CA16+0.5*BW16))</f>
        <v>0.2390062227733671</v>
      </c>
      <c r="CS16" s="22">
        <f aca="true" t="shared" si="45" ref="CS16:CS22">BX16/(BX16+0.5*BW16+0.5*(BU16-CC16)+BV16+BY16)</f>
        <v>0.6049906913301224</v>
      </c>
      <c r="CT16" s="22">
        <f aca="true" t="shared" si="46" ref="CT16:CT22">(BW16/(BX16+BW16+BU16-CC16+BV16+BY16))*(BW16/(BU16+BT16+BQ16+CA16+BW16))</f>
        <v>0.3486274965456865</v>
      </c>
      <c r="CU16" s="22">
        <f>(1-BX16-BY16-BZ16)*(1-0.5*(BR16+BS16+CA16+BY16+BZ16))</f>
        <v>0.12297717128927267</v>
      </c>
      <c r="CV16" s="1">
        <f aca="true" t="shared" si="47" ref="CV16:CV39">R16/AQ$9</f>
        <v>0.915380556984104</v>
      </c>
      <c r="CW16" s="1">
        <f aca="true" t="shared" si="48" ref="CW16:CW39">S16/AR$9</f>
        <v>0.004256448519507053</v>
      </c>
      <c r="CX16" s="1">
        <f aca="true" t="shared" si="49" ref="CX16:CX39">T16/AS$9</f>
        <v>0.014711507341042164</v>
      </c>
      <c r="CY16" s="1">
        <f aca="true" t="shared" si="50" ref="CY16:CY39">U16/AT$9</f>
        <v>0.1572799750579013</v>
      </c>
      <c r="CZ16" s="1">
        <f aca="true" t="shared" si="51" ref="CZ16:CZ39">V16/AU$9</f>
        <v>0.003383259911894273</v>
      </c>
      <c r="DA16" s="1">
        <f aca="true" t="shared" si="52" ref="DA16:DA39">W16/AV$9</f>
        <v>0.7617034368456049</v>
      </c>
      <c r="DB16" s="1">
        <f aca="true" t="shared" si="53" ref="DB16:DB39">X16/AW$9</f>
        <v>0.016049246220402515</v>
      </c>
      <c r="DC16" s="1">
        <f aca="true" t="shared" si="54" ref="DC16:DC39">Y16/AX$9</f>
        <v>0.00016134523200637637</v>
      </c>
      <c r="DD16" s="1">
        <f aca="true" t="shared" si="55" ref="DD16:DD39">Z16/AY$9</f>
        <v>0</v>
      </c>
      <c r="DE16" s="1">
        <f aca="true" t="shared" si="56" ref="DE16:DE39">AA16/AZ$9</f>
        <v>0.0012500148028068755</v>
      </c>
      <c r="DF16" s="1">
        <f aca="true" t="shared" si="57" ref="DF16:DF22">SUM(CV16:DE16)</f>
        <v>1.8741757909152696</v>
      </c>
      <c r="DH16" s="15">
        <f aca="true" t="shared" si="58" ref="DH16:DI22">CV16*2</f>
        <v>1.830761113968208</v>
      </c>
      <c r="DI16" s="15">
        <f t="shared" si="58"/>
        <v>0.008512897039014106</v>
      </c>
      <c r="DJ16" s="15">
        <f aca="true" t="shared" si="59" ref="DJ16:DJ22">CX16*3</f>
        <v>0.04413452202312649</v>
      </c>
      <c r="DK16" s="15">
        <f aca="true" t="shared" si="60" ref="DK16:DP22">CY16</f>
        <v>0.1572799750579013</v>
      </c>
      <c r="DL16" s="15">
        <f t="shared" si="60"/>
        <v>0.003383259911894273</v>
      </c>
      <c r="DM16" s="15">
        <f t="shared" si="60"/>
        <v>0.7617034368456049</v>
      </c>
      <c r="DN16" s="15">
        <f t="shared" si="60"/>
        <v>0.016049246220402515</v>
      </c>
      <c r="DO16" s="15">
        <f t="shared" si="60"/>
        <v>0.00016134523200637637</v>
      </c>
      <c r="DP16" s="15">
        <f t="shared" si="60"/>
        <v>0</v>
      </c>
      <c r="DQ16" s="15">
        <f aca="true" t="shared" si="61" ref="DQ16:DQ22">DE16*3</f>
        <v>0.0037500444084206264</v>
      </c>
      <c r="DR16" s="15">
        <f aca="true" t="shared" si="62" ref="DR16:DR22">SUM(DH16:DQ16)</f>
        <v>2.8257358407065785</v>
      </c>
      <c r="DS16" s="15">
        <f aca="true" t="shared" si="63" ref="DS16:DS22">6/DR16</f>
        <v>2.1233407290115602</v>
      </c>
      <c r="DU16" s="22">
        <f aca="true" t="shared" si="64" ref="DU16:DU39">CV16*$DS16</f>
        <v>1.9436648191896355</v>
      </c>
      <c r="DV16" s="22">
        <f aca="true" t="shared" si="65" ref="DV16:DV39">CW16*$DS16</f>
        <v>0.009037890502410283</v>
      </c>
      <c r="DW16" s="22">
        <f aca="true" t="shared" si="66" ref="DW16:DW22">2-DU16</f>
        <v>0.05633518081036448</v>
      </c>
      <c r="DX16" s="22">
        <f aca="true" t="shared" si="67" ref="DX16:DX22">IF(DY16-DW16&lt;0,0,DY16-DW16)</f>
        <v>0.006139904634410297</v>
      </c>
      <c r="DY16" s="22">
        <f aca="true" t="shared" si="68" ref="DY16:DY39">CX16*$DS16*2</f>
        <v>0.06247508544477478</v>
      </c>
      <c r="DZ16" s="22">
        <f aca="true" t="shared" si="69" ref="DZ16:DZ39">CY16*$DS16</f>
        <v>0.3339589768983642</v>
      </c>
      <c r="EA16" s="22">
        <f aca="true" t="shared" si="70" ref="EA16:EA39">CZ16*$DS16</f>
        <v>0.007183813567757173</v>
      </c>
      <c r="EB16" s="22">
        <f aca="true" t="shared" si="71" ref="EB16:EB39">DA16*$DS16</f>
        <v>1.6173559308823577</v>
      </c>
      <c r="EC16" s="22">
        <f aca="true" t="shared" si="72" ref="EC16:EC39">DB16*$DS16</f>
        <v>0.03407801816971551</v>
      </c>
      <c r="ED16" s="22">
        <f aca="true" t="shared" si="73" ref="ED16:ED39">DC16*$DS16*2</f>
        <v>0.0006851818051019171</v>
      </c>
      <c r="EE16" s="22">
        <f aca="true" t="shared" si="74" ref="EE16:EE39">DD16*$DS16*2</f>
        <v>0</v>
      </c>
      <c r="EF16" s="22">
        <f aca="true" t="shared" si="75" ref="EF16:EF39">DE16*$DS16*2</f>
        <v>0.005308414685334386</v>
      </c>
      <c r="EG16" s="15">
        <f aca="true" t="shared" si="76" ref="EG16:EG22">DU16+DV16+DY16+DZ16+EA16+EB16+EC16+ED16+EE16+EF16</f>
        <v>4.0137481311454515</v>
      </c>
      <c r="EH16" s="15">
        <f aca="true" t="shared" si="77" ref="EH16:EH22">IF(ED16+DW16-DX16-2*DV16-EF16&gt;0,ED16+DW16-DX16-2*DV16-EF16,0)</f>
        <v>0.02749626229090115</v>
      </c>
      <c r="EI16" s="15">
        <f aca="true" t="shared" si="78" ref="EI16:EI22">12-48/EG16</f>
        <v>0.04110312066301347</v>
      </c>
      <c r="EJ16" s="15">
        <f aca="true" t="shared" si="79" ref="EJ16:EJ22">ED16</f>
        <v>0.0006851818051019171</v>
      </c>
      <c r="EK16" s="15">
        <f aca="true" t="shared" si="80" ref="EK16:EK22">DV16</f>
        <v>0.009037890502410283</v>
      </c>
      <c r="EL16" s="15">
        <f aca="true" t="shared" si="81" ref="EL16:EL22">EF16</f>
        <v>0.005308414685334386</v>
      </c>
      <c r="EM16" s="15">
        <f aca="true" t="shared" si="82" ref="EM16:EM22">(DX16-EJ16-EL16)</f>
        <v>0.0001463081439739937</v>
      </c>
      <c r="EN16" s="15">
        <f aca="true" t="shared" si="83" ref="EN16:EN22">EC16</f>
        <v>0.03407801816971551</v>
      </c>
      <c r="EO16" s="15">
        <f aca="true" t="shared" si="84" ref="EO16:EO22">((DZ16+EB16+EA16)-EK16-EM16-EN16)/2</f>
        <v>0.9576182522661896</v>
      </c>
      <c r="EP16" s="15">
        <f aca="true" t="shared" si="85" ref="EP16:EP22">EO16*(EB16/(EB16+DZ16+EA16))</f>
        <v>0.7908146903243942</v>
      </c>
      <c r="EQ16" s="15">
        <f aca="true" t="shared" si="86" ref="EQ16:EQ22">EN16*(EB16/(EB16+DZ16+EA16))</f>
        <v>0.02814210915673056</v>
      </c>
      <c r="ER16" s="15">
        <f aca="true" t="shared" si="87" ref="ER16:ER22">(0.5*EB16/(EC16+0.5*EB16+0.5*(DZ16-EH16)+EA16+ED16))*(0.5*EB16/(EH16+0.5*(DZ16-EH16)+DX16+DV16+EF16+0.5*EB16))</f>
        <v>0.6450669795758555</v>
      </c>
      <c r="ES16" s="15">
        <f aca="true" t="shared" si="88" ref="ES16:ES22">EC16/(EC16+0.5*EB16+0.5*(DZ16-EH16)+EA16+ED16)</f>
        <v>0.03394710671025363</v>
      </c>
      <c r="ET16" s="15">
        <f aca="true" t="shared" si="89" ref="ET16:ET22">(DZ16-EH16)/((DZ16-EH16)+EB16)</f>
        <v>0.15929917059798274</v>
      </c>
      <c r="EU16" s="15">
        <f aca="true" t="shared" si="90" ref="EU16:EU22">(EB16/(EC16+EB16-EH16+DZ16+EA16+ED16))*(EB16/(EH16+DZ16-EH16+DY16+DV16+EF16+EB16))</f>
        <v>0.6561185691519387</v>
      </c>
      <c r="EV16" s="15">
        <f aca="true" t="shared" si="91" ref="EV16:EV22">SUM(EJ16:EO16)</f>
        <v>1.0068740655727257</v>
      </c>
      <c r="EX16" s="1">
        <f aca="true" t="shared" si="92" ref="EX16:EX39">D16</f>
        <v>0</v>
      </c>
      <c r="EY16" s="1">
        <f aca="true" t="shared" si="93" ref="EY16:EY39">GE16</f>
        <v>0</v>
      </c>
      <c r="FA16" s="1">
        <f aca="true" t="shared" si="94" ref="FA16:FA22">((1-BT16/2)*(1-BX16))/((1-DY16/2)*(1-EC16))</f>
        <v>0.15768772729023242</v>
      </c>
      <c r="FB16" s="1">
        <f aca="true" t="shared" si="95" ref="FB16:FB22">1616.67+287.935*LN(FA16)+2.933*EY16</f>
        <v>1084.814143988372</v>
      </c>
      <c r="FD16" s="1">
        <f aca="true" t="shared" si="96" ref="FD16:FD22">(-7-EY16*0.06188+34*(EN16^2)-(21.905-EY16*0.05229)*CN16^2)/(0.0083143*LN(CJ16/EO16)+0.004431*CN16^2-0.00397)</f>
        <v>1177.1984654281875</v>
      </c>
      <c r="FE16" s="1">
        <f aca="true" t="shared" si="97" ref="FE16:FE22">(-7-EY16*0.06188+34*(EQ16^2)-(21.905-EY16*0.05229)*CL16^2)/(0.0083143*LN(CK16/EP16)+0.004431*CL16^2-0.00397)</f>
        <v>936.047907624914</v>
      </c>
      <c r="FF16" s="1">
        <f aca="true" t="shared" si="98" ref="FF16:FF22">(12.909+EY16*0.1633+34*EO16^2-(21.905-EY16*0.05229)*CJ16^2)/(0.0083143*LN(CN16/EN16)+0.004431*CJ16^2+0.0085)</f>
        <v>1260.8968491640676</v>
      </c>
      <c r="FG16" s="1">
        <f aca="true" t="shared" si="99" ref="FG16:FG22">(12.909+EY16*0.1633+34*EP16^2-(21.905-EY16*0.05229)*CK16^2)/(0.0083143*LN(CL16/EQ16)+0.004431*CK16^2+0.0085)</f>
        <v>971.8198816033578</v>
      </c>
      <c r="FH16" s="1">
        <f aca="true" t="shared" si="100" ref="FH16:FH22">CR16/ER16</f>
        <v>0.3705138076212156</v>
      </c>
      <c r="FI16" s="1">
        <f aca="true" t="shared" si="101" ref="FI16:FI22">-273.15+(4900/(1.807-LN(FH16)))</f>
        <v>1476.9346494651622</v>
      </c>
      <c r="FJ16" s="1">
        <f aca="true" t="shared" si="102" ref="FJ16:FJ22">-273.15+(7045/(2.47-LN(ES16/CS16)))</f>
        <v>1043.5716592556068</v>
      </c>
      <c r="FL16" s="1">
        <f aca="true" t="shared" si="103" ref="FL16:FL22">-273.15+(-10202/(LN(CR16/ER16)-7.65*ET16+3.88*ET16^2-4.6))</f>
        <v>1246.5779819237546</v>
      </c>
      <c r="FM16" s="1">
        <f aca="true" t="shared" si="104" ref="FM16:FM22">-273.15+(3666/(0.8808-LN(DX16/(0.5*EB16))))</f>
        <v>363.1546080326408</v>
      </c>
      <c r="FO16" s="1">
        <f aca="true" t="shared" si="105" ref="FO16:FO22">10*(1.279/(EC16/(1-BX16)+0.006)-2.29)</f>
        <v>34.70695105834064</v>
      </c>
      <c r="FP16" s="1">
        <f aca="true" t="shared" si="106" ref="FP16:FP22">10*(1.073/(EC16/(1-BX16)+0.028)-1.65)</f>
        <v>27.47147800367063</v>
      </c>
      <c r="FR16" s="1">
        <f aca="true" t="shared" si="107" ref="FR16:FR22">26.23-0.02229*EY16</f>
        <v>26.23</v>
      </c>
      <c r="FS16" s="1">
        <f aca="true" t="shared" si="108" ref="FS16:FS22">32.44-0.08646*EY16</f>
        <v>32.44</v>
      </c>
      <c r="FT16" s="1">
        <f aca="true" t="shared" si="109" ref="FT16:FT22">28.6-1.749*EY16</f>
        <v>28.6</v>
      </c>
      <c r="FU16" s="1">
        <f aca="true" t="shared" si="110" ref="FU16:FU22">-273.15+((4.261+0.059*EY16+FR16*CS16^2*(1-2*CR16)+2*FS16*CR16*CS16^2-FT16*ES16^2)/(0.002721-0.0083143*LN(CR16/ER16)))</f>
        <v>1085.734215115583</v>
      </c>
      <c r="FV16" s="1">
        <f aca="true" t="shared" si="111" ref="FV16:FV22">-273.15+(-35.92-1.753*EY16+FS16*CR16^2*(1-2*CS16)+2*FR16*CS16*CR16^2-FT16*ER16^2)/(-0.02097-0.0083143*LN(CS16/ES16))</f>
        <v>759.761207024886</v>
      </c>
      <c r="FX16" s="1">
        <f aca="true" t="shared" si="112" ref="FX16:FX39">-273.15+(6425+26.4*EY16)/(-LN(EC16)+1.843)</f>
        <v>957.1973008771246</v>
      </c>
      <c r="FY16" s="1">
        <f aca="true" t="shared" si="113" ref="FY16:FY39">-273.15+((35000+61.5*EY16)/((LN(ED16/BY16))^2+19.8))</f>
        <v>811.6323039739528</v>
      </c>
      <c r="GA16" s="1">
        <f aca="true" t="shared" si="114" ref="GA16:GA39">-273.15+(7341/(3.355+2.44*ET16-LN(CR16/ER16)))</f>
        <v>1276.7107547583419</v>
      </c>
      <c r="GC16" s="1" t="e">
        <f>IF(BW16/(BW16+BU16)&gt;0.7,#REF!,0)</f>
        <v>#REF!</v>
      </c>
      <c r="GD16" s="1" t="e">
        <f aca="true" t="shared" si="115" ref="GD16:GD39">IF(GC16=0,0,GC16-EY16)</f>
        <v>#REF!</v>
      </c>
      <c r="GE16" s="2">
        <f aca="true" t="shared" si="116" ref="GE16:GE39">10*C16</f>
        <v>0</v>
      </c>
    </row>
    <row r="17" spans="1:187" ht="12.75">
      <c r="A17" s="1" t="s">
        <v>40</v>
      </c>
      <c r="B17" s="1" t="s">
        <v>41</v>
      </c>
      <c r="C17" s="23">
        <v>1.5</v>
      </c>
      <c r="D17" s="2">
        <v>1325</v>
      </c>
      <c r="F17" s="1">
        <v>4261</v>
      </c>
      <c r="G17" s="23">
        <v>51.7</v>
      </c>
      <c r="H17" s="23">
        <v>0.28</v>
      </c>
      <c r="I17" s="23">
        <v>8.38</v>
      </c>
      <c r="J17" s="23">
        <v>6.69</v>
      </c>
      <c r="K17" s="23">
        <v>0.15</v>
      </c>
      <c r="L17" s="23">
        <v>21.4</v>
      </c>
      <c r="M17" s="23">
        <v>11.7</v>
      </c>
      <c r="N17" s="23">
        <v>0.64</v>
      </c>
      <c r="O17" s="23">
        <v>0</v>
      </c>
      <c r="P17" s="23">
        <v>0.05</v>
      </c>
      <c r="R17" s="23">
        <v>52.7</v>
      </c>
      <c r="S17" s="23">
        <v>0.15</v>
      </c>
      <c r="T17" s="23">
        <v>8.1</v>
      </c>
      <c r="U17" s="23">
        <v>8.48</v>
      </c>
      <c r="V17" s="23">
        <v>0.14</v>
      </c>
      <c r="W17" s="23">
        <v>29.4</v>
      </c>
      <c r="X17" s="23">
        <v>2.14</v>
      </c>
      <c r="Y17" s="23">
        <v>0.14</v>
      </c>
      <c r="Z17" s="23">
        <v>0</v>
      </c>
      <c r="AA17" s="23">
        <v>0</v>
      </c>
      <c r="AC17" s="50">
        <f aca="true" t="shared" si="117" ref="AC17:AC39">AH17</f>
        <v>1303.9317480193015</v>
      </c>
      <c r="AD17" s="50">
        <f aca="true" t="shared" si="118" ref="AD17:AD39">AK17</f>
        <v>15.878754406756084</v>
      </c>
      <c r="AF17" s="27">
        <f aca="true" t="shared" si="119" ref="AF17:AF39">-273.15+((23664+(24.9+126.3*BU17/(BU17+BW17))*AD17)/(13.38+(LN((1-BX17/(1-BY17))/(1-EC17/(1-ED17))))^2+11.59*DZ17/(DZ17+EB17)))</f>
        <v>1320.3392020829283</v>
      </c>
      <c r="AG17" s="27"/>
      <c r="AH17" s="27">
        <f aca="true" t="shared" si="120" ref="AH17:AH39">10^4/(11.2-1.96*LN(CJ17/EO17)-3.3*BX17-25.8*CH17+33.2*EA17-23.6*ED17-2.08*EP17-8.33*EQ17-0.05*AD17)</f>
        <v>1303.9317472887064</v>
      </c>
      <c r="AI17" s="27">
        <f aca="true" t="shared" si="121" ref="AI17:AI39">10^4/(13.4-3.4*LN(CJ17/EO17)+5.59*LN(BW17)+23.85*EA17+6.48*EM17-2.38*CL17-0.044*AD17-8.8*BW17/(BW17+BU17))</f>
        <v>1301.7311845176657</v>
      </c>
      <c r="AJ17" s="27">
        <f aca="true" t="shared" si="122" ref="AJ17:AJ39">-279.8+293*DX17+455*ED17+229*EF17+519*EO17-563*EP17+371*EQ17+327*ER17+1.19/AO17</f>
        <v>16.53565412520068</v>
      </c>
      <c r="AK17" s="27">
        <f aca="true" t="shared" si="123" ref="AK17:AK39">-94.25+0.045*AC17+187.7*DX17+246.8*EO17-212.5*EP17+127.5*ER17-69.4*CJ17-133.9*CS17-1.66/AO17</f>
        <v>15.878754406756084</v>
      </c>
      <c r="AL17" s="29">
        <f aca="true" t="shared" si="124" ref="AL17:AL39">-273+(93100+755*AD17)/(61.1+36.6*BQ17/4+10.9*BU17/4-0.95*(BR17+BS17+CA17-BY17-BZ17)/4+3.5*LN(CU17)^2)</f>
        <v>1358.7865409570043</v>
      </c>
      <c r="AM17" s="42">
        <f aca="true" t="shared" si="125" ref="AM17:AM39">(BU17/BW17)/(DZ17/EB17)</f>
        <v>1.0838366249338742</v>
      </c>
      <c r="AN17" s="44"/>
      <c r="AO17" s="1">
        <f aca="true" t="shared" si="126" ref="AO17:AO39">EC17/(1-BX17)</f>
        <v>0.14263907225534256</v>
      </c>
      <c r="AQ17" s="1">
        <f t="shared" si="0"/>
        <v>0.8604577235650578</v>
      </c>
      <c r="AR17" s="1">
        <f t="shared" si="1"/>
        <v>0.0035053105454763973</v>
      </c>
      <c r="AS17" s="1">
        <f t="shared" si="2"/>
        <v>0.08218828767862223</v>
      </c>
      <c r="AT17" s="1">
        <f t="shared" si="3"/>
        <v>0.09311531266702298</v>
      </c>
      <c r="AU17" s="1">
        <f t="shared" si="4"/>
        <v>0.0021145374449339205</v>
      </c>
      <c r="AV17" s="1">
        <f t="shared" si="5"/>
        <v>0.5309593989738093</v>
      </c>
      <c r="AW17" s="1">
        <f t="shared" si="6"/>
        <v>0.2086402008652327</v>
      </c>
      <c r="AX17" s="1">
        <f t="shared" si="7"/>
        <v>0.010326094848408088</v>
      </c>
      <c r="AY17" s="1">
        <f t="shared" si="8"/>
        <v>0</v>
      </c>
      <c r="AZ17" s="1">
        <f t="shared" si="9"/>
        <v>0.0003289512638965462</v>
      </c>
      <c r="BA17" s="1">
        <f t="shared" si="10"/>
        <v>1.7916358178524598</v>
      </c>
      <c r="BC17" s="15">
        <f t="shared" si="11"/>
        <v>1.7209154471301156</v>
      </c>
      <c r="BD17" s="15">
        <f t="shared" si="11"/>
        <v>0.007010621090952795</v>
      </c>
      <c r="BE17" s="15">
        <f t="shared" si="12"/>
        <v>0.24656486303586667</v>
      </c>
      <c r="BF17" s="15">
        <f t="shared" si="13"/>
        <v>0.09311531266702298</v>
      </c>
      <c r="BG17" s="15">
        <f t="shared" si="13"/>
        <v>0.0021145374449339205</v>
      </c>
      <c r="BH17" s="15">
        <f t="shared" si="13"/>
        <v>0.5309593989738093</v>
      </c>
      <c r="BI17" s="15">
        <f t="shared" si="13"/>
        <v>0.2086402008652327</v>
      </c>
      <c r="BJ17" s="15">
        <f t="shared" si="13"/>
        <v>0.010326094848408088</v>
      </c>
      <c r="BK17" s="15">
        <f t="shared" si="13"/>
        <v>0</v>
      </c>
      <c r="BL17" s="15">
        <f t="shared" si="14"/>
        <v>0.0009868537916896385</v>
      </c>
      <c r="BM17" s="15">
        <f t="shared" si="15"/>
        <v>2.820633329848032</v>
      </c>
      <c r="BN17" s="15">
        <f t="shared" si="16"/>
        <v>2.127181841222611</v>
      </c>
      <c r="BP17" s="22">
        <f t="shared" si="17"/>
        <v>1.830350044707336</v>
      </c>
      <c r="BQ17" s="22">
        <f t="shared" si="18"/>
        <v>0.007456432940183518</v>
      </c>
      <c r="BR17" s="22">
        <f t="shared" si="19"/>
        <v>0.16964995529266402</v>
      </c>
      <c r="BS17" s="22">
        <f t="shared" si="20"/>
        <v>0.1800089109296265</v>
      </c>
      <c r="BT17" s="22">
        <f t="shared" si="21"/>
        <v>0.34965886622229053</v>
      </c>
      <c r="BU17" s="22">
        <f t="shared" si="22"/>
        <v>0.19807320224505706</v>
      </c>
      <c r="BV17" s="22">
        <f t="shared" si="23"/>
        <v>0.004498005655448692</v>
      </c>
      <c r="BW17" s="22">
        <f t="shared" si="24"/>
        <v>1.1294471919235585</v>
      </c>
      <c r="BX17" s="22">
        <f t="shared" si="25"/>
        <v>0.443815646629561</v>
      </c>
      <c r="BY17" s="22">
        <f t="shared" si="26"/>
        <v>0.04393096290455207</v>
      </c>
      <c r="BZ17" s="22">
        <f t="shared" si="27"/>
        <v>0</v>
      </c>
      <c r="CA17" s="22">
        <f t="shared" si="28"/>
        <v>0.0013994783104159202</v>
      </c>
      <c r="CB17" s="15">
        <f t="shared" si="29"/>
        <v>4.0086298315384035</v>
      </c>
      <c r="CC17" s="15">
        <f t="shared" si="30"/>
        <v>0.01725966307680662</v>
      </c>
      <c r="CD17" s="15">
        <f t="shared" si="31"/>
        <v>0.025833759367374753</v>
      </c>
      <c r="CE17" s="15">
        <f t="shared" si="32"/>
        <v>0.04393096290455207</v>
      </c>
      <c r="CF17" s="15">
        <f t="shared" si="33"/>
        <v>0.13607794802507445</v>
      </c>
      <c r="CG17" s="15">
        <f t="shared" si="34"/>
        <v>0.016786003633794788</v>
      </c>
      <c r="CH17" s="15">
        <f t="shared" si="35"/>
        <v>0.0006997391552079601</v>
      </c>
      <c r="CI17" s="15">
        <f t="shared" si="36"/>
        <v>0.29025195581548385</v>
      </c>
      <c r="CJ17" s="15">
        <f t="shared" si="37"/>
        <v>0.5186342191765658</v>
      </c>
      <c r="CK17" s="15">
        <f t="shared" si="38"/>
        <v>0.43976116438167023</v>
      </c>
      <c r="CL17" s="15">
        <f t="shared" si="39"/>
        <v>0.24611090694349172</v>
      </c>
      <c r="CM17" s="15">
        <f t="shared" si="40"/>
        <v>1.0063808287106788</v>
      </c>
      <c r="CN17" s="15">
        <f t="shared" si="41"/>
        <v>0.29025195581548385</v>
      </c>
      <c r="CO17" s="15"/>
      <c r="CP17" s="1">
        <f t="shared" si="42"/>
        <v>0.8620018635393409</v>
      </c>
      <c r="CQ17" s="15">
        <f t="shared" si="43"/>
        <v>0.18081353916825044</v>
      </c>
      <c r="CR17" s="15">
        <f t="shared" si="44"/>
        <v>0.3227266367877646</v>
      </c>
      <c r="CS17" s="22">
        <f t="shared" si="45"/>
        <v>0.38680959065803894</v>
      </c>
      <c r="CT17" s="22">
        <f t="shared" si="46"/>
        <v>0.41974803184923765</v>
      </c>
      <c r="CU17" s="22">
        <f aca="true" t="shared" si="127" ref="CU17:CU39">(1-BX17-BY17-BZ17)*(1-0.5*(BR17+BS17+CA17+BY17+BZ17))</f>
        <v>0.4110860844996327</v>
      </c>
      <c r="CV17" s="1">
        <f t="shared" si="47"/>
        <v>0.8771010064193142</v>
      </c>
      <c r="CW17" s="1">
        <f t="shared" si="48"/>
        <v>0.0018778449350766412</v>
      </c>
      <c r="CX17" s="1">
        <f t="shared" si="49"/>
        <v>0.07944213964162768</v>
      </c>
      <c r="CY17" s="1">
        <f t="shared" si="50"/>
        <v>0.11802957420274363</v>
      </c>
      <c r="CZ17" s="1">
        <f t="shared" si="51"/>
        <v>0.001973568281938326</v>
      </c>
      <c r="DA17" s="1">
        <f t="shared" si="52"/>
        <v>0.7294488939172894</v>
      </c>
      <c r="DB17" s="1">
        <f t="shared" si="53"/>
        <v>0.038161541012957094</v>
      </c>
      <c r="DC17" s="1">
        <f t="shared" si="54"/>
        <v>0.002258833248089269</v>
      </c>
      <c r="DD17" s="1">
        <f t="shared" si="55"/>
        <v>0</v>
      </c>
      <c r="DE17" s="1">
        <f t="shared" si="56"/>
        <v>0</v>
      </c>
      <c r="DF17" s="1">
        <f t="shared" si="57"/>
        <v>1.8482934016590362</v>
      </c>
      <c r="DH17" s="15">
        <f t="shared" si="58"/>
        <v>1.7542020128386284</v>
      </c>
      <c r="DI17" s="15">
        <f t="shared" si="58"/>
        <v>0.0037556898701532823</v>
      </c>
      <c r="DJ17" s="15">
        <f t="shared" si="59"/>
        <v>0.23832641892488304</v>
      </c>
      <c r="DK17" s="15">
        <f t="shared" si="60"/>
        <v>0.11802957420274363</v>
      </c>
      <c r="DL17" s="15">
        <f t="shared" si="60"/>
        <v>0.001973568281938326</v>
      </c>
      <c r="DM17" s="15">
        <f t="shared" si="60"/>
        <v>0.7294488939172894</v>
      </c>
      <c r="DN17" s="15">
        <f t="shared" si="60"/>
        <v>0.038161541012957094</v>
      </c>
      <c r="DO17" s="15">
        <f t="shared" si="60"/>
        <v>0.002258833248089269</v>
      </c>
      <c r="DP17" s="15">
        <f t="shared" si="60"/>
        <v>0</v>
      </c>
      <c r="DQ17" s="15">
        <f t="shared" si="61"/>
        <v>0</v>
      </c>
      <c r="DR17" s="15">
        <f t="shared" si="62"/>
        <v>2.886156532296682</v>
      </c>
      <c r="DS17" s="15">
        <f t="shared" si="63"/>
        <v>2.0788893231738377</v>
      </c>
      <c r="DU17" s="22">
        <f t="shared" si="64"/>
        <v>1.82339591759014</v>
      </c>
      <c r="DV17" s="22">
        <f t="shared" si="65"/>
        <v>0.003903831786106898</v>
      </c>
      <c r="DW17" s="22">
        <f t="shared" si="66"/>
        <v>0.17660408240986003</v>
      </c>
      <c r="DX17" s="22">
        <f t="shared" si="67"/>
        <v>0.1536987494122697</v>
      </c>
      <c r="DY17" s="22">
        <f t="shared" si="68"/>
        <v>0.3303028318221297</v>
      </c>
      <c r="DZ17" s="22">
        <f t="shared" si="69"/>
        <v>0.24537042162883796</v>
      </c>
      <c r="EA17" s="22">
        <f t="shared" si="70"/>
        <v>0.004102830029876121</v>
      </c>
      <c r="EB17" s="22">
        <f t="shared" si="71"/>
        <v>1.5164435173656183</v>
      </c>
      <c r="EC17" s="22">
        <f t="shared" si="72"/>
        <v>0.07933362016769702</v>
      </c>
      <c r="ED17" s="22">
        <f t="shared" si="73"/>
        <v>0.009391728644565724</v>
      </c>
      <c r="EE17" s="22">
        <f t="shared" si="74"/>
        <v>0</v>
      </c>
      <c r="EF17" s="22">
        <f t="shared" si="75"/>
        <v>0</v>
      </c>
      <c r="EG17" s="15">
        <f t="shared" si="76"/>
        <v>4.012244699034971</v>
      </c>
      <c r="EH17" s="15">
        <f t="shared" si="77"/>
        <v>0.02448939806994227</v>
      </c>
      <c r="EI17" s="15">
        <f t="shared" si="78"/>
        <v>0.03662199079108852</v>
      </c>
      <c r="EJ17" s="15">
        <f t="shared" si="79"/>
        <v>0.009391728644565724</v>
      </c>
      <c r="EK17" s="15">
        <f t="shared" si="80"/>
        <v>0.003903831786106898</v>
      </c>
      <c r="EL17" s="15">
        <f t="shared" si="81"/>
        <v>0</v>
      </c>
      <c r="EM17" s="15">
        <f t="shared" si="82"/>
        <v>0.14430702076770396</v>
      </c>
      <c r="EN17" s="15">
        <f t="shared" si="83"/>
        <v>0.07933362016769702</v>
      </c>
      <c r="EO17" s="15">
        <f t="shared" si="84"/>
        <v>0.7691861481514123</v>
      </c>
      <c r="EP17" s="15">
        <f t="shared" si="85"/>
        <v>0.6605222672278543</v>
      </c>
      <c r="EQ17" s="15">
        <f t="shared" si="86"/>
        <v>0.0681260612746312</v>
      </c>
      <c r="ER17" s="15">
        <f t="shared" si="87"/>
        <v>0.5690446657585179</v>
      </c>
      <c r="ES17" s="15">
        <f t="shared" si="88"/>
        <v>0.08251108497759087</v>
      </c>
      <c r="ET17" s="15">
        <f t="shared" si="89"/>
        <v>0.12713860787423995</v>
      </c>
      <c r="EU17" s="15">
        <f t="shared" si="90"/>
        <v>0.5994729607303404</v>
      </c>
      <c r="EV17" s="15">
        <f t="shared" si="91"/>
        <v>1.0061223495174858</v>
      </c>
      <c r="EX17" s="1">
        <f t="shared" si="92"/>
        <v>1325</v>
      </c>
      <c r="EY17" s="1">
        <f t="shared" si="93"/>
        <v>15</v>
      </c>
      <c r="FA17" s="1">
        <f t="shared" si="94"/>
        <v>0.597107459321029</v>
      </c>
      <c r="FB17" s="1">
        <f t="shared" si="95"/>
        <v>1512.188961099579</v>
      </c>
      <c r="FD17" s="1">
        <f t="shared" si="96"/>
        <v>1381.1494651748965</v>
      </c>
      <c r="FE17" s="1">
        <f t="shared" si="97"/>
        <v>1277.5081621044612</v>
      </c>
      <c r="FF17" s="1">
        <f t="shared" si="98"/>
        <v>1455.0259374653015</v>
      </c>
      <c r="FG17" s="1">
        <f t="shared" si="99"/>
        <v>1303.0469827931074</v>
      </c>
      <c r="FH17" s="1">
        <f t="shared" si="100"/>
        <v>0.5671376189030444</v>
      </c>
      <c r="FI17" s="1">
        <f t="shared" si="101"/>
        <v>1790.7436918779817</v>
      </c>
      <c r="FJ17" s="1">
        <f t="shared" si="102"/>
        <v>1481.5200266746037</v>
      </c>
      <c r="FL17" s="1">
        <f t="shared" si="103"/>
        <v>1405.6260454972517</v>
      </c>
      <c r="FM17" s="1">
        <f t="shared" si="104"/>
        <v>1206.9967824118462</v>
      </c>
      <c r="FO17" s="1">
        <f t="shared" si="105"/>
        <v>63.14736161181393</v>
      </c>
      <c r="FP17" s="1">
        <f t="shared" si="106"/>
        <v>46.38126076977105</v>
      </c>
      <c r="FR17" s="1">
        <f t="shared" si="107"/>
        <v>25.89565</v>
      </c>
      <c r="FS17" s="1">
        <f t="shared" si="108"/>
        <v>31.143099999999997</v>
      </c>
      <c r="FT17" s="1">
        <f t="shared" si="109"/>
        <v>2.3649999999999984</v>
      </c>
      <c r="FU17" s="1">
        <f t="shared" si="110"/>
        <v>1005.8438009579821</v>
      </c>
      <c r="FV17" s="1">
        <f t="shared" si="111"/>
        <v>1505.9107476867825</v>
      </c>
      <c r="FX17" s="1">
        <f t="shared" si="112"/>
        <v>1285.1901052062267</v>
      </c>
      <c r="FY17" s="1">
        <f t="shared" si="113"/>
        <v>1346.425043260524</v>
      </c>
      <c r="GA17" s="1">
        <f t="shared" si="114"/>
        <v>1461.3385747265852</v>
      </c>
      <c r="GC17" s="1">
        <f aca="true" t="shared" si="128" ref="GC17:GC39">IF(BW17/(BW17+BU17)&gt;0.7,AJ17,0)</f>
        <v>16.53565412520068</v>
      </c>
      <c r="GD17" s="1">
        <f t="shared" si="115"/>
        <v>1.5356541252006792</v>
      </c>
      <c r="GE17" s="2">
        <f t="shared" si="116"/>
        <v>15</v>
      </c>
    </row>
    <row r="18" spans="1:187" ht="12.75">
      <c r="A18" s="1" t="s">
        <v>40</v>
      </c>
      <c r="B18" s="1" t="s">
        <v>42</v>
      </c>
      <c r="C18" s="23">
        <v>1.5</v>
      </c>
      <c r="D18" s="2">
        <v>1340</v>
      </c>
      <c r="F18" s="1">
        <v>4260</v>
      </c>
      <c r="G18" s="23">
        <v>51.5</v>
      </c>
      <c r="H18" s="23">
        <v>0.45</v>
      </c>
      <c r="I18" s="23">
        <v>8.1</v>
      </c>
      <c r="J18" s="23">
        <v>6.96</v>
      </c>
      <c r="K18" s="23">
        <v>0.17</v>
      </c>
      <c r="L18" s="23">
        <v>20.3</v>
      </c>
      <c r="M18" s="23">
        <v>12.6</v>
      </c>
      <c r="N18" s="23">
        <v>0.56</v>
      </c>
      <c r="O18" s="23">
        <v>0</v>
      </c>
      <c r="P18" s="23">
        <v>0.09</v>
      </c>
      <c r="R18" s="23">
        <v>53.2</v>
      </c>
      <c r="S18" s="23">
        <v>0.2</v>
      </c>
      <c r="T18" s="23">
        <v>7.4</v>
      </c>
      <c r="U18" s="23">
        <v>8.8</v>
      </c>
      <c r="V18" s="23">
        <v>0.13</v>
      </c>
      <c r="W18" s="23">
        <v>29.2</v>
      </c>
      <c r="X18" s="23">
        <v>2.37</v>
      </c>
      <c r="Y18" s="23">
        <v>0.14</v>
      </c>
      <c r="Z18" s="23">
        <v>0</v>
      </c>
      <c r="AA18" s="23">
        <v>0.02</v>
      </c>
      <c r="AC18" s="50">
        <f t="shared" si="117"/>
        <v>1300.2853355758311</v>
      </c>
      <c r="AD18" s="50">
        <f t="shared" si="118"/>
        <v>14.702638474962297</v>
      </c>
      <c r="AF18" s="27">
        <f t="shared" si="119"/>
        <v>1304.9014045392069</v>
      </c>
      <c r="AG18" s="27"/>
      <c r="AH18" s="27">
        <f t="shared" si="120"/>
        <v>1300.2853358293864</v>
      </c>
      <c r="AI18" s="27">
        <f t="shared" si="121"/>
        <v>1298.5481782284544</v>
      </c>
      <c r="AJ18" s="27">
        <f t="shared" si="122"/>
        <v>14.45033912450603</v>
      </c>
      <c r="AK18" s="27">
        <f t="shared" si="123"/>
        <v>14.702638474962297</v>
      </c>
      <c r="AL18" s="29">
        <f t="shared" si="124"/>
        <v>1334.2983470311804</v>
      </c>
      <c r="AM18" s="42">
        <f t="shared" si="125"/>
        <v>1.1376623376623378</v>
      </c>
      <c r="AN18" s="44"/>
      <c r="AO18" s="1">
        <f t="shared" si="126"/>
        <v>0.1692475388184695</v>
      </c>
      <c r="AQ18" s="1">
        <f t="shared" si="0"/>
        <v>0.8571290669942064</v>
      </c>
      <c r="AR18" s="1">
        <f t="shared" si="1"/>
        <v>0.0056335348052299235</v>
      </c>
      <c r="AS18" s="1">
        <f t="shared" si="2"/>
        <v>0.07944213964162768</v>
      </c>
      <c r="AT18" s="1">
        <f t="shared" si="3"/>
        <v>0.09687332977017638</v>
      </c>
      <c r="AU18" s="1">
        <f t="shared" si="4"/>
        <v>0.00239647577092511</v>
      </c>
      <c r="AV18" s="1">
        <f t="shared" si="5"/>
        <v>0.5036670934190808</v>
      </c>
      <c r="AW18" s="1">
        <f t="shared" si="6"/>
        <v>0.2246894470856352</v>
      </c>
      <c r="AX18" s="1">
        <f t="shared" si="7"/>
        <v>0.009035332992357077</v>
      </c>
      <c r="AY18" s="1">
        <f t="shared" si="8"/>
        <v>0</v>
      </c>
      <c r="AZ18" s="1">
        <f t="shared" si="9"/>
        <v>0.000592112275013783</v>
      </c>
      <c r="BA18" s="1">
        <f t="shared" si="10"/>
        <v>1.7794585327542527</v>
      </c>
      <c r="BC18" s="15">
        <f t="shared" si="11"/>
        <v>1.7142581339884129</v>
      </c>
      <c r="BD18" s="15">
        <f t="shared" si="11"/>
        <v>0.011267069610459847</v>
      </c>
      <c r="BE18" s="15">
        <f t="shared" si="12"/>
        <v>0.23832641892488304</v>
      </c>
      <c r="BF18" s="15">
        <f t="shared" si="13"/>
        <v>0.09687332977017638</v>
      </c>
      <c r="BG18" s="15">
        <f t="shared" si="13"/>
        <v>0.00239647577092511</v>
      </c>
      <c r="BH18" s="15">
        <f t="shared" si="13"/>
        <v>0.5036670934190808</v>
      </c>
      <c r="BI18" s="15">
        <f t="shared" si="13"/>
        <v>0.2246894470856352</v>
      </c>
      <c r="BJ18" s="15">
        <f t="shared" si="13"/>
        <v>0.009035332992357077</v>
      </c>
      <c r="BK18" s="15">
        <f t="shared" si="13"/>
        <v>0</v>
      </c>
      <c r="BL18" s="15">
        <f t="shared" si="14"/>
        <v>0.001776336825041349</v>
      </c>
      <c r="BM18" s="15">
        <f t="shared" si="15"/>
        <v>2.8022896383869713</v>
      </c>
      <c r="BN18" s="15">
        <f t="shared" si="16"/>
        <v>2.1411063002943784</v>
      </c>
      <c r="BP18" s="22">
        <f t="shared" si="17"/>
        <v>1.8352044455067378</v>
      </c>
      <c r="BQ18" s="22">
        <f t="shared" si="18"/>
        <v>0.012061996864405454</v>
      </c>
      <c r="BR18" s="22">
        <f t="shared" si="19"/>
        <v>0.16479555449326222</v>
      </c>
      <c r="BS18" s="22">
        <f t="shared" si="20"/>
        <v>0.17539257689784743</v>
      </c>
      <c r="BT18" s="22">
        <f t="shared" si="21"/>
        <v>0.34018813139110965</v>
      </c>
      <c r="BU18" s="22">
        <f t="shared" si="22"/>
        <v>0.2074160967014196</v>
      </c>
      <c r="BV18" s="22">
        <f t="shared" si="23"/>
        <v>0.0051311093716305805</v>
      </c>
      <c r="BW18" s="22">
        <f t="shared" si="24"/>
        <v>1.078404786970551</v>
      </c>
      <c r="BX18" s="22">
        <f t="shared" si="25"/>
        <v>0.4810839907647139</v>
      </c>
      <c r="BY18" s="22">
        <f t="shared" si="26"/>
        <v>0.03869121679038679</v>
      </c>
      <c r="BZ18" s="22">
        <f t="shared" si="27"/>
        <v>0</v>
      </c>
      <c r="CA18" s="22">
        <f t="shared" si="28"/>
        <v>0.002535550645027297</v>
      </c>
      <c r="CB18" s="15">
        <f t="shared" si="29"/>
        <v>4.000717325005981</v>
      </c>
      <c r="CC18" s="15">
        <f t="shared" si="30"/>
        <v>0.00143465001196337</v>
      </c>
      <c r="CD18" s="15">
        <f t="shared" si="31"/>
        <v>0.002151589170765078</v>
      </c>
      <c r="CE18" s="15">
        <f t="shared" si="32"/>
        <v>0.03869121679038679</v>
      </c>
      <c r="CF18" s="15">
        <f t="shared" si="33"/>
        <v>0.13670136010746065</v>
      </c>
      <c r="CG18" s="15">
        <f t="shared" si="34"/>
        <v>0.014047097192900787</v>
      </c>
      <c r="CH18" s="15">
        <f t="shared" si="35"/>
        <v>0.0012677753225136484</v>
      </c>
      <c r="CI18" s="15">
        <f t="shared" si="36"/>
        <v>0.3290677581418388</v>
      </c>
      <c r="CJ18" s="15">
        <f t="shared" si="37"/>
        <v>0.4783765627650659</v>
      </c>
      <c r="CK18" s="15">
        <f t="shared" si="38"/>
        <v>0.39961484086181787</v>
      </c>
      <c r="CL18" s="15">
        <f t="shared" si="39"/>
        <v>0.2748888010786324</v>
      </c>
      <c r="CM18" s="15">
        <f t="shared" si="40"/>
        <v>0.9981517703201666</v>
      </c>
      <c r="CN18" s="15">
        <f t="shared" si="41"/>
        <v>0.32906775814183886</v>
      </c>
      <c r="CO18" s="15"/>
      <c r="CP18" s="1">
        <f t="shared" si="42"/>
        <v>0.8396265536866677</v>
      </c>
      <c r="CQ18" s="15">
        <f t="shared" si="43"/>
        <v>0.20598144668945625</v>
      </c>
      <c r="CR18" s="15">
        <f t="shared" si="44"/>
        <v>0.2988331256584118</v>
      </c>
      <c r="CS18" s="22">
        <f t="shared" si="45"/>
        <v>0.412204801793254</v>
      </c>
      <c r="CT18" s="22">
        <f t="shared" si="46"/>
        <v>0.3917873184967704</v>
      </c>
      <c r="CU18" s="22">
        <f t="shared" si="127"/>
        <v>0.38864234713271945</v>
      </c>
      <c r="CV18" s="1">
        <f t="shared" si="47"/>
        <v>0.8854226478464424</v>
      </c>
      <c r="CW18" s="1">
        <f t="shared" si="48"/>
        <v>0.002503793246768855</v>
      </c>
      <c r="CX18" s="1">
        <f t="shared" si="49"/>
        <v>0.07257676954914134</v>
      </c>
      <c r="CY18" s="1">
        <f t="shared" si="50"/>
        <v>0.12248352039907358</v>
      </c>
      <c r="CZ18" s="1">
        <f t="shared" si="51"/>
        <v>0.0018325991189427314</v>
      </c>
      <c r="DA18" s="1">
        <f t="shared" si="52"/>
        <v>0.7244866565437024</v>
      </c>
      <c r="DB18" s="1">
        <f t="shared" si="53"/>
        <v>0.04226301504705996</v>
      </c>
      <c r="DC18" s="1">
        <f t="shared" si="54"/>
        <v>0.002258833248089269</v>
      </c>
      <c r="DD18" s="1">
        <f t="shared" si="55"/>
        <v>0</v>
      </c>
      <c r="DE18" s="1">
        <f t="shared" si="56"/>
        <v>0.00013158050555861847</v>
      </c>
      <c r="DF18" s="1">
        <f t="shared" si="57"/>
        <v>1.8539594155047794</v>
      </c>
      <c r="DH18" s="15">
        <f t="shared" si="58"/>
        <v>1.7708452956928848</v>
      </c>
      <c r="DI18" s="15">
        <f t="shared" si="58"/>
        <v>0.00500758649353771</v>
      </c>
      <c r="DJ18" s="15">
        <f t="shared" si="59"/>
        <v>0.21773030864742404</v>
      </c>
      <c r="DK18" s="15">
        <f t="shared" si="60"/>
        <v>0.12248352039907358</v>
      </c>
      <c r="DL18" s="15">
        <f t="shared" si="60"/>
        <v>0.0018325991189427314</v>
      </c>
      <c r="DM18" s="15">
        <f t="shared" si="60"/>
        <v>0.7244866565437024</v>
      </c>
      <c r="DN18" s="15">
        <f t="shared" si="60"/>
        <v>0.04226301504705996</v>
      </c>
      <c r="DO18" s="15">
        <f t="shared" si="60"/>
        <v>0.002258833248089269</v>
      </c>
      <c r="DP18" s="15">
        <f t="shared" si="60"/>
        <v>0</v>
      </c>
      <c r="DQ18" s="15">
        <f t="shared" si="61"/>
        <v>0.0003947415166758554</v>
      </c>
      <c r="DR18" s="15">
        <f t="shared" si="62"/>
        <v>2.88730255670739</v>
      </c>
      <c r="DS18" s="15">
        <f t="shared" si="63"/>
        <v>2.0780641731021965</v>
      </c>
      <c r="DU18" s="22">
        <f t="shared" si="64"/>
        <v>1.8399650825429748</v>
      </c>
      <c r="DV18" s="22">
        <f t="shared" si="65"/>
        <v>0.005203043042965585</v>
      </c>
      <c r="DW18" s="22">
        <f t="shared" si="66"/>
        <v>0.16003491745702525</v>
      </c>
      <c r="DX18" s="22">
        <f t="shared" si="67"/>
        <v>0.14160345174210492</v>
      </c>
      <c r="DY18" s="22">
        <f t="shared" si="68"/>
        <v>0.3016383691991302</v>
      </c>
      <c r="DZ18" s="22">
        <f t="shared" si="69"/>
        <v>0.2545286155367468</v>
      </c>
      <c r="EA18" s="22">
        <f t="shared" si="70"/>
        <v>0.003808258572733541</v>
      </c>
      <c r="EB18" s="22">
        <f t="shared" si="71"/>
        <v>1.505529764854064</v>
      </c>
      <c r="EC18" s="22">
        <f t="shared" si="72"/>
        <v>0.08782525741657435</v>
      </c>
      <c r="ED18" s="22">
        <f t="shared" si="73"/>
        <v>0.009388000891732752</v>
      </c>
      <c r="EE18" s="22">
        <f t="shared" si="74"/>
        <v>0</v>
      </c>
      <c r="EF18" s="22">
        <f t="shared" si="75"/>
        <v>0.0005468654689600789</v>
      </c>
      <c r="EG18" s="15">
        <f t="shared" si="76"/>
        <v>4.0084332575258825</v>
      </c>
      <c r="EH18" s="15">
        <f t="shared" si="77"/>
        <v>0.016866515051761826</v>
      </c>
      <c r="EI18" s="15">
        <f t="shared" si="78"/>
        <v>0.025246544923902547</v>
      </c>
      <c r="EJ18" s="15">
        <f t="shared" si="79"/>
        <v>0.009388000891732752</v>
      </c>
      <c r="EK18" s="15">
        <f t="shared" si="80"/>
        <v>0.005203043042965585</v>
      </c>
      <c r="EL18" s="15">
        <f t="shared" si="81"/>
        <v>0.0005468654689600789</v>
      </c>
      <c r="EM18" s="15">
        <f t="shared" si="82"/>
        <v>0.1316685853814121</v>
      </c>
      <c r="EN18" s="15">
        <f t="shared" si="83"/>
        <v>0.08782525741657435</v>
      </c>
      <c r="EO18" s="15">
        <f t="shared" si="84"/>
        <v>0.7695848765612961</v>
      </c>
      <c r="EP18" s="15">
        <f t="shared" si="85"/>
        <v>0.6568710539961172</v>
      </c>
      <c r="EQ18" s="15">
        <f t="shared" si="86"/>
        <v>0.07496232210861357</v>
      </c>
      <c r="ER18" s="15">
        <f t="shared" si="87"/>
        <v>0.5624631947442575</v>
      </c>
      <c r="ES18" s="15">
        <f t="shared" si="88"/>
        <v>0.09029784264836842</v>
      </c>
      <c r="ET18" s="15">
        <f t="shared" si="89"/>
        <v>0.13633731616729405</v>
      </c>
      <c r="EU18" s="15">
        <f t="shared" si="90"/>
        <v>0.5944744720981884</v>
      </c>
      <c r="EV18" s="15">
        <f t="shared" si="91"/>
        <v>1.004216628762941</v>
      </c>
      <c r="EX18" s="1">
        <f t="shared" si="92"/>
        <v>1340</v>
      </c>
      <c r="EY18" s="1">
        <f t="shared" si="93"/>
        <v>15</v>
      </c>
      <c r="FA18" s="1">
        <f t="shared" si="94"/>
        <v>0.5559653464142352</v>
      </c>
      <c r="FB18" s="1">
        <f t="shared" si="95"/>
        <v>1491.6329559844548</v>
      </c>
      <c r="FD18" s="1">
        <f t="shared" si="96"/>
        <v>1337.1868939196631</v>
      </c>
      <c r="FE18" s="1">
        <f t="shared" si="97"/>
        <v>1201.5930434763573</v>
      </c>
      <c r="FF18" s="1">
        <f t="shared" si="98"/>
        <v>1495.9651994709575</v>
      </c>
      <c r="FG18" s="1">
        <f t="shared" si="99"/>
        <v>1332.065082337607</v>
      </c>
      <c r="FH18" s="1">
        <f t="shared" si="100"/>
        <v>0.5312936534350237</v>
      </c>
      <c r="FI18" s="1">
        <f t="shared" si="101"/>
        <v>1735.5074028138733</v>
      </c>
      <c r="FJ18" s="1">
        <f t="shared" si="102"/>
        <v>1493.2194914960696</v>
      </c>
      <c r="FL18" s="1">
        <f t="shared" si="103"/>
        <v>1371.458528565926</v>
      </c>
      <c r="FM18" s="1">
        <f t="shared" si="104"/>
        <v>1163.6392785870312</v>
      </c>
      <c r="FO18" s="1">
        <f t="shared" si="105"/>
        <v>50.08248001787087</v>
      </c>
      <c r="FP18" s="1">
        <f t="shared" si="106"/>
        <v>37.89865087429564</v>
      </c>
      <c r="FR18" s="1">
        <f t="shared" si="107"/>
        <v>25.89565</v>
      </c>
      <c r="FS18" s="1">
        <f t="shared" si="108"/>
        <v>31.143099999999997</v>
      </c>
      <c r="FT18" s="1">
        <f t="shared" si="109"/>
        <v>2.3649999999999984</v>
      </c>
      <c r="FU18" s="1">
        <f t="shared" si="110"/>
        <v>987.5626566574641</v>
      </c>
      <c r="FV18" s="1">
        <f t="shared" si="111"/>
        <v>1529.7768594606778</v>
      </c>
      <c r="FX18" s="1">
        <f t="shared" si="112"/>
        <v>1322.2539829154498</v>
      </c>
      <c r="FY18" s="1">
        <f t="shared" si="113"/>
        <v>1374.2504480741272</v>
      </c>
      <c r="GA18" s="1">
        <f t="shared" si="114"/>
        <v>1426.1148666599897</v>
      </c>
      <c r="GC18" s="1">
        <f t="shared" si="128"/>
        <v>14.45033912450603</v>
      </c>
      <c r="GD18" s="1">
        <f t="shared" si="115"/>
        <v>-0.54966087549397</v>
      </c>
      <c r="GE18" s="2">
        <f t="shared" si="116"/>
        <v>15</v>
      </c>
    </row>
    <row r="19" spans="1:187" ht="12.75">
      <c r="A19" s="1" t="s">
        <v>43</v>
      </c>
      <c r="B19" s="1" t="s">
        <v>44</v>
      </c>
      <c r="C19" s="23">
        <v>0.1938</v>
      </c>
      <c r="D19" s="2">
        <v>950</v>
      </c>
      <c r="F19" s="1">
        <v>87</v>
      </c>
      <c r="G19" s="23">
        <v>51.06</v>
      </c>
      <c r="H19" s="23">
        <v>0.62</v>
      </c>
      <c r="I19" s="23">
        <v>3.16</v>
      </c>
      <c r="J19" s="23">
        <v>6.18</v>
      </c>
      <c r="K19" s="23">
        <v>0.12</v>
      </c>
      <c r="L19" s="23">
        <v>15.78</v>
      </c>
      <c r="M19" s="23">
        <v>20.82</v>
      </c>
      <c r="N19" s="23">
        <v>0.27</v>
      </c>
      <c r="O19" s="23">
        <v>0</v>
      </c>
      <c r="P19" s="23">
        <v>0.01</v>
      </c>
      <c r="R19" s="23">
        <v>55.15</v>
      </c>
      <c r="S19" s="23">
        <v>0.17</v>
      </c>
      <c r="T19" s="23">
        <v>1.19</v>
      </c>
      <c r="U19" s="23">
        <v>10.21</v>
      </c>
      <c r="V19" s="23">
        <v>0.22</v>
      </c>
      <c r="W19" s="23">
        <v>29.99</v>
      </c>
      <c r="X19" s="23">
        <v>1.66</v>
      </c>
      <c r="Y19" s="23">
        <v>0.03</v>
      </c>
      <c r="Z19" s="23">
        <v>0</v>
      </c>
      <c r="AA19" s="23">
        <v>0.15</v>
      </c>
      <c r="AC19" s="50">
        <f t="shared" si="117"/>
        <v>1005.5625254904575</v>
      </c>
      <c r="AD19" s="50">
        <f t="shared" si="118"/>
        <v>3.489870998022612</v>
      </c>
      <c r="AF19" s="27">
        <f t="shared" si="119"/>
        <v>1003.0961582626986</v>
      </c>
      <c r="AG19" s="27"/>
      <c r="AH19" s="27">
        <f t="shared" si="120"/>
        <v>1005.5625254906794</v>
      </c>
      <c r="AI19" s="27">
        <f t="shared" si="121"/>
        <v>979.6664027696352</v>
      </c>
      <c r="AJ19" s="27">
        <f t="shared" si="122"/>
        <v>2.38000470171174</v>
      </c>
      <c r="AK19" s="27">
        <f t="shared" si="123"/>
        <v>3.489870998022612</v>
      </c>
      <c r="AL19" s="29">
        <f t="shared" si="124"/>
        <v>985.5891874153017</v>
      </c>
      <c r="AM19" s="42">
        <f t="shared" si="125"/>
        <v>1.1503558354405394</v>
      </c>
      <c r="AN19" s="44"/>
      <c r="AO19" s="1">
        <f t="shared" si="126"/>
        <v>0.3882398589631559</v>
      </c>
      <c r="AQ19" s="1">
        <f t="shared" si="0"/>
        <v>0.8498060225383337</v>
      </c>
      <c r="AR19" s="1">
        <f t="shared" si="1"/>
        <v>0.00776175906498345</v>
      </c>
      <c r="AS19" s="1">
        <f t="shared" si="2"/>
        <v>0.03099224213179549</v>
      </c>
      <c r="AT19" s="1">
        <f t="shared" si="3"/>
        <v>0.08601683591662213</v>
      </c>
      <c r="AU19" s="1">
        <f t="shared" si="4"/>
        <v>0.0016916299559471366</v>
      </c>
      <c r="AV19" s="1">
        <f t="shared" si="5"/>
        <v>0.3915205287760145</v>
      </c>
      <c r="AW19" s="1">
        <f t="shared" si="6"/>
        <v>0.37127256256531155</v>
      </c>
      <c r="AX19" s="1">
        <f t="shared" si="7"/>
        <v>0.004356321264172162</v>
      </c>
      <c r="AY19" s="1">
        <f t="shared" si="8"/>
        <v>0</v>
      </c>
      <c r="AZ19" s="1">
        <f t="shared" si="9"/>
        <v>6.579025277930924E-05</v>
      </c>
      <c r="BA19" s="1">
        <f t="shared" si="10"/>
        <v>1.7434836924659596</v>
      </c>
      <c r="BC19" s="15">
        <f t="shared" si="11"/>
        <v>1.6996120450766674</v>
      </c>
      <c r="BD19" s="15">
        <f t="shared" si="11"/>
        <v>0.0155235181299669</v>
      </c>
      <c r="BE19" s="15">
        <f t="shared" si="12"/>
        <v>0.09297672639538647</v>
      </c>
      <c r="BF19" s="15">
        <f t="shared" si="13"/>
        <v>0.08601683591662213</v>
      </c>
      <c r="BG19" s="15">
        <f t="shared" si="13"/>
        <v>0.0016916299559471366</v>
      </c>
      <c r="BH19" s="15">
        <f t="shared" si="13"/>
        <v>0.3915205287760145</v>
      </c>
      <c r="BI19" s="15">
        <f t="shared" si="13"/>
        <v>0.37127256256531155</v>
      </c>
      <c r="BJ19" s="15">
        <f t="shared" si="13"/>
        <v>0.004356321264172162</v>
      </c>
      <c r="BK19" s="15">
        <f t="shared" si="13"/>
        <v>0</v>
      </c>
      <c r="BL19" s="15">
        <f t="shared" si="14"/>
        <v>0.0001973707583379277</v>
      </c>
      <c r="BM19" s="15">
        <f t="shared" si="15"/>
        <v>2.663167538838426</v>
      </c>
      <c r="BN19" s="15">
        <f t="shared" si="16"/>
        <v>2.2529562682402533</v>
      </c>
      <c r="BP19" s="22">
        <f t="shared" si="17"/>
        <v>1.9145758052660569</v>
      </c>
      <c r="BQ19" s="22">
        <f t="shared" si="18"/>
        <v>0.01748690373802507</v>
      </c>
      <c r="BR19" s="22">
        <f t="shared" si="19"/>
        <v>0.08542419473394314</v>
      </c>
      <c r="BS19" s="22">
        <f t="shared" si="20"/>
        <v>0.0542241376213535</v>
      </c>
      <c r="BT19" s="22">
        <f t="shared" si="21"/>
        <v>0.13964833235529664</v>
      </c>
      <c r="BU19" s="22">
        <f t="shared" si="22"/>
        <v>0.19379216965254717</v>
      </c>
      <c r="BV19" s="22">
        <f t="shared" si="23"/>
        <v>0.003811168312794085</v>
      </c>
      <c r="BW19" s="22">
        <f t="shared" si="24"/>
        <v>0.8820786294506604</v>
      </c>
      <c r="BX19" s="22">
        <f t="shared" si="25"/>
        <v>0.8364608470571403</v>
      </c>
      <c r="BY19" s="22">
        <f t="shared" si="26"/>
        <v>0.019629202597169954</v>
      </c>
      <c r="BZ19" s="22">
        <f t="shared" si="27"/>
        <v>0</v>
      </c>
      <c r="CA19" s="22">
        <f t="shared" si="28"/>
        <v>0.00029644512477651095</v>
      </c>
      <c r="CB19" s="15">
        <f t="shared" si="29"/>
        <v>4.007779503554468</v>
      </c>
      <c r="CC19" s="15">
        <f t="shared" si="30"/>
        <v>0.015559007108932935</v>
      </c>
      <c r="CD19" s="15">
        <f t="shared" si="31"/>
        <v>0.023293208264281162</v>
      </c>
      <c r="CE19" s="15">
        <f t="shared" si="32"/>
        <v>0.019629202597169954</v>
      </c>
      <c r="CF19" s="15">
        <f t="shared" si="33"/>
        <v>0.03459493502418355</v>
      </c>
      <c r="CG19" s="15">
        <f t="shared" si="34"/>
        <v>0.025414629854879793</v>
      </c>
      <c r="CH19" s="15">
        <f t="shared" si="35"/>
        <v>0.00014822256238825548</v>
      </c>
      <c r="CI19" s="15">
        <f t="shared" si="36"/>
        <v>0.7763030596156888</v>
      </c>
      <c r="CJ19" s="15">
        <f t="shared" si="37"/>
        <v>0.14978386974375935</v>
      </c>
      <c r="CK19" s="15">
        <f t="shared" si="38"/>
        <v>0.1223704336320412</v>
      </c>
      <c r="CL19" s="15">
        <f t="shared" si="39"/>
        <v>0.6342241137017368</v>
      </c>
      <c r="CM19" s="15">
        <f t="shared" si="40"/>
        <v>1.0058739193980697</v>
      </c>
      <c r="CN19" s="15">
        <f t="shared" si="41"/>
        <v>0.7763030596156888</v>
      </c>
      <c r="CO19" s="15"/>
      <c r="CP19" s="1">
        <f t="shared" si="42"/>
        <v>0.8319049510819959</v>
      </c>
      <c r="CQ19" s="15">
        <f t="shared" si="43"/>
        <v>0.17823316254361424</v>
      </c>
      <c r="CR19" s="15">
        <f t="shared" si="44"/>
        <v>0.2265315110292348</v>
      </c>
      <c r="CS19" s="22">
        <f t="shared" si="45"/>
        <v>0.6017456683284581</v>
      </c>
      <c r="CT19" s="22">
        <f t="shared" si="46"/>
        <v>0.3285455490078497</v>
      </c>
      <c r="CU19" s="22">
        <f t="shared" si="127"/>
        <v>0.13242780857099967</v>
      </c>
      <c r="CV19" s="1">
        <f t="shared" si="47"/>
        <v>0.9178770494122425</v>
      </c>
      <c r="CW19" s="1">
        <f t="shared" si="48"/>
        <v>0.0021282242597535266</v>
      </c>
      <c r="CX19" s="1">
        <f t="shared" si="49"/>
        <v>0.011671129157226783</v>
      </c>
      <c r="CY19" s="1">
        <f t="shared" si="50"/>
        <v>0.1421087208266524</v>
      </c>
      <c r="CZ19" s="1">
        <f t="shared" si="51"/>
        <v>0.0031013215859030836</v>
      </c>
      <c r="DA19" s="1">
        <f t="shared" si="52"/>
        <v>0.744087494169371</v>
      </c>
      <c r="DB19" s="1">
        <f t="shared" si="53"/>
        <v>0.029601943028742417</v>
      </c>
      <c r="DC19" s="1">
        <f t="shared" si="54"/>
        <v>0.00048403569601912906</v>
      </c>
      <c r="DD19" s="1">
        <f t="shared" si="55"/>
        <v>0</v>
      </c>
      <c r="DE19" s="1">
        <f t="shared" si="56"/>
        <v>0.0009868537916896383</v>
      </c>
      <c r="DF19" s="1">
        <f t="shared" si="57"/>
        <v>1.8520467719276006</v>
      </c>
      <c r="DH19" s="15">
        <f t="shared" si="58"/>
        <v>1.835754098824485</v>
      </c>
      <c r="DI19" s="15">
        <f t="shared" si="58"/>
        <v>0.004256448519507053</v>
      </c>
      <c r="DJ19" s="15">
        <f t="shared" si="59"/>
        <v>0.03501338747168035</v>
      </c>
      <c r="DK19" s="15">
        <f t="shared" si="60"/>
        <v>0.1421087208266524</v>
      </c>
      <c r="DL19" s="15">
        <f t="shared" si="60"/>
        <v>0.0031013215859030836</v>
      </c>
      <c r="DM19" s="15">
        <f t="shared" si="60"/>
        <v>0.744087494169371</v>
      </c>
      <c r="DN19" s="15">
        <f t="shared" si="60"/>
        <v>0.029601943028742417</v>
      </c>
      <c r="DO19" s="15">
        <f t="shared" si="60"/>
        <v>0.00048403569601912906</v>
      </c>
      <c r="DP19" s="15">
        <f t="shared" si="60"/>
        <v>0</v>
      </c>
      <c r="DQ19" s="15">
        <f t="shared" si="61"/>
        <v>0.0029605613750689147</v>
      </c>
      <c r="DR19" s="15">
        <f t="shared" si="62"/>
        <v>2.7973680114974298</v>
      </c>
      <c r="DS19" s="15">
        <f t="shared" si="63"/>
        <v>2.1448733149658787</v>
      </c>
      <c r="DU19" s="22">
        <f t="shared" si="64"/>
        <v>1.968729989703936</v>
      </c>
      <c r="DV19" s="22">
        <f t="shared" si="65"/>
        <v>0.00456477142300835</v>
      </c>
      <c r="DW19" s="22">
        <f t="shared" si="66"/>
        <v>0.03127001029606391</v>
      </c>
      <c r="DX19" s="22">
        <f t="shared" si="67"/>
        <v>0.018796176673647955</v>
      </c>
      <c r="DY19" s="22">
        <f t="shared" si="68"/>
        <v>0.050066186969711865</v>
      </c>
      <c r="DZ19" s="22">
        <f t="shared" si="69"/>
        <v>0.3048052031250226</v>
      </c>
      <c r="EA19" s="22">
        <f t="shared" si="70"/>
        <v>0.006651941910731183</v>
      </c>
      <c r="EB19" s="22">
        <f t="shared" si="71"/>
        <v>1.5959734102437129</v>
      </c>
      <c r="EC19" s="22">
        <f t="shared" si="72"/>
        <v>0.06349241767348983</v>
      </c>
      <c r="ED19" s="22">
        <f t="shared" si="73"/>
        <v>0.0020763904957647314</v>
      </c>
      <c r="EE19" s="22">
        <f t="shared" si="74"/>
        <v>0</v>
      </c>
      <c r="EF19" s="22">
        <f t="shared" si="75"/>
        <v>0.004233352727136003</v>
      </c>
      <c r="EG19" s="15">
        <f t="shared" si="76"/>
        <v>4.000593664272514</v>
      </c>
      <c r="EH19" s="15">
        <f t="shared" si="77"/>
        <v>0.001187328545027985</v>
      </c>
      <c r="EI19" s="15">
        <f t="shared" si="78"/>
        <v>0.0017807285288142793</v>
      </c>
      <c r="EJ19" s="15">
        <f t="shared" si="79"/>
        <v>0.0020763904957647314</v>
      </c>
      <c r="EK19" s="15">
        <f t="shared" si="80"/>
        <v>0.00456477142300835</v>
      </c>
      <c r="EL19" s="15">
        <f t="shared" si="81"/>
        <v>0.004233352727136003</v>
      </c>
      <c r="EM19" s="15">
        <f t="shared" si="82"/>
        <v>0.012486433450747219</v>
      </c>
      <c r="EN19" s="15">
        <f t="shared" si="83"/>
        <v>0.06349241767348983</v>
      </c>
      <c r="EO19" s="15">
        <f t="shared" si="84"/>
        <v>0.9134434663661105</v>
      </c>
      <c r="EP19" s="15">
        <f t="shared" si="85"/>
        <v>0.7642907261006763</v>
      </c>
      <c r="EQ19" s="15">
        <f t="shared" si="86"/>
        <v>0.053124980135453005</v>
      </c>
      <c r="ER19" s="15">
        <f t="shared" si="87"/>
        <v>0.6367050952016526</v>
      </c>
      <c r="ES19" s="15">
        <f t="shared" si="88"/>
        <v>0.06212465684497012</v>
      </c>
      <c r="ET19" s="15">
        <f t="shared" si="89"/>
        <v>0.15983326361079406</v>
      </c>
      <c r="EU19" s="15">
        <f t="shared" si="90"/>
        <v>0.65918732222561</v>
      </c>
      <c r="EV19" s="15">
        <f t="shared" si="91"/>
        <v>1.0002968321362566</v>
      </c>
      <c r="EX19" s="1">
        <f t="shared" si="92"/>
        <v>950</v>
      </c>
      <c r="EY19" s="1">
        <f t="shared" si="93"/>
        <v>1.938</v>
      </c>
      <c r="FA19" s="1">
        <f t="shared" si="94"/>
        <v>0.16660407653080206</v>
      </c>
      <c r="FB19" s="1">
        <f t="shared" si="95"/>
        <v>1106.3357395742478</v>
      </c>
      <c r="FD19" s="1">
        <f t="shared" si="96"/>
        <v>1232.0940350370515</v>
      </c>
      <c r="FE19" s="1">
        <f t="shared" si="97"/>
        <v>906.7476488304111</v>
      </c>
      <c r="FF19" s="1">
        <f t="shared" si="98"/>
        <v>1397.4095134255026</v>
      </c>
      <c r="FG19" s="1">
        <f t="shared" si="99"/>
        <v>1122.532667904725</v>
      </c>
      <c r="FH19" s="1">
        <f t="shared" si="100"/>
        <v>0.35578718112423674</v>
      </c>
      <c r="FI19" s="1">
        <f t="shared" si="101"/>
        <v>1451.9454544819428</v>
      </c>
      <c r="FJ19" s="1">
        <f t="shared" si="102"/>
        <v>1212.9199920492788</v>
      </c>
      <c r="FL19" s="1">
        <f t="shared" si="103"/>
        <v>1236.6858558649137</v>
      </c>
      <c r="FM19" s="1">
        <f t="shared" si="104"/>
        <v>518.7729122849726</v>
      </c>
      <c r="FO19" s="1">
        <f t="shared" si="105"/>
        <v>9.542178813774642</v>
      </c>
      <c r="FP19" s="1">
        <f t="shared" si="106"/>
        <v>9.278405813244767</v>
      </c>
      <c r="FR19" s="1">
        <f t="shared" si="107"/>
        <v>26.186801980000002</v>
      </c>
      <c r="FS19" s="1">
        <f t="shared" si="108"/>
        <v>32.272440519999996</v>
      </c>
      <c r="FT19" s="1">
        <f t="shared" si="109"/>
        <v>25.210438</v>
      </c>
      <c r="FU19" s="1">
        <f t="shared" si="110"/>
        <v>1031.3982654520955</v>
      </c>
      <c r="FV19" s="1">
        <f t="shared" si="111"/>
        <v>937.8448330789519</v>
      </c>
      <c r="FX19" s="1">
        <f t="shared" si="112"/>
        <v>1134.7621316273758</v>
      </c>
      <c r="FY19" s="1">
        <f t="shared" si="113"/>
        <v>1140.309915126144</v>
      </c>
      <c r="GA19" s="1">
        <f t="shared" si="114"/>
        <v>1263.1332510062166</v>
      </c>
      <c r="GC19" s="1">
        <f t="shared" si="128"/>
        <v>2.38000470171174</v>
      </c>
      <c r="GD19" s="1">
        <f t="shared" si="115"/>
        <v>0.4420047017117399</v>
      </c>
      <c r="GE19" s="2">
        <f t="shared" si="116"/>
        <v>1.938</v>
      </c>
    </row>
    <row r="20" spans="1:187" ht="12.75">
      <c r="A20" s="1" t="s">
        <v>43</v>
      </c>
      <c r="B20" s="1" t="s">
        <v>45</v>
      </c>
      <c r="C20" s="23">
        <v>0.2</v>
      </c>
      <c r="D20" s="2">
        <v>980</v>
      </c>
      <c r="F20" s="1">
        <v>86</v>
      </c>
      <c r="G20" s="23">
        <v>53.32</v>
      </c>
      <c r="H20" s="23">
        <v>0.48</v>
      </c>
      <c r="I20" s="23">
        <v>2.25</v>
      </c>
      <c r="J20" s="23">
        <v>5.92</v>
      </c>
      <c r="K20" s="23">
        <v>0.15</v>
      </c>
      <c r="L20" s="23">
        <v>16.91</v>
      </c>
      <c r="M20" s="23">
        <v>20.73</v>
      </c>
      <c r="N20" s="23">
        <v>0.28</v>
      </c>
      <c r="O20" s="23">
        <v>0</v>
      </c>
      <c r="P20" s="23">
        <v>0.12</v>
      </c>
      <c r="R20" s="23">
        <v>56.32</v>
      </c>
      <c r="S20" s="23">
        <v>0.13</v>
      </c>
      <c r="T20" s="23">
        <v>1.41</v>
      </c>
      <c r="U20" s="23">
        <v>10.17</v>
      </c>
      <c r="V20" s="23">
        <v>0.26</v>
      </c>
      <c r="W20" s="23">
        <v>30.88</v>
      </c>
      <c r="X20" s="23">
        <v>1.05</v>
      </c>
      <c r="Y20" s="23">
        <v>0.02</v>
      </c>
      <c r="Z20" s="23">
        <v>0</v>
      </c>
      <c r="AA20" s="23">
        <v>0.16</v>
      </c>
      <c r="AC20" s="50">
        <f t="shared" si="117"/>
        <v>1007.0530521708346</v>
      </c>
      <c r="AD20" s="50">
        <f t="shared" si="118"/>
        <v>5.074810251413678</v>
      </c>
      <c r="AF20" s="27">
        <f t="shared" si="119"/>
        <v>1044.032590180716</v>
      </c>
      <c r="AG20" s="27"/>
      <c r="AH20" s="27">
        <f t="shared" si="120"/>
        <v>1007.0530521710394</v>
      </c>
      <c r="AI20" s="27">
        <f t="shared" si="121"/>
        <v>997.4829743730294</v>
      </c>
      <c r="AJ20" s="27">
        <f t="shared" si="122"/>
        <v>4.099410731287854</v>
      </c>
      <c r="AK20" s="27">
        <f t="shared" si="123"/>
        <v>5.074810251413678</v>
      </c>
      <c r="AL20" s="29">
        <f t="shared" si="124"/>
        <v>1044.7851236968843</v>
      </c>
      <c r="AM20" s="42">
        <f t="shared" si="125"/>
        <v>1.063002871934069</v>
      </c>
      <c r="AN20" s="44"/>
      <c r="AO20" s="1">
        <f t="shared" si="126"/>
        <v>0.20874504084078782</v>
      </c>
      <c r="AQ20" s="1">
        <f t="shared" si="0"/>
        <v>0.8874198417889532</v>
      </c>
      <c r="AR20" s="1">
        <f t="shared" si="1"/>
        <v>0.006009103792245251</v>
      </c>
      <c r="AS20" s="1">
        <f t="shared" si="2"/>
        <v>0.022067261011563245</v>
      </c>
      <c r="AT20" s="1">
        <f t="shared" si="3"/>
        <v>0.08239800463210405</v>
      </c>
      <c r="AU20" s="1">
        <f t="shared" si="4"/>
        <v>0.0021145374449339205</v>
      </c>
      <c r="AV20" s="1">
        <f t="shared" si="5"/>
        <v>0.4195571699367811</v>
      </c>
      <c r="AW20" s="1">
        <f t="shared" si="6"/>
        <v>0.3696676379432713</v>
      </c>
      <c r="AX20" s="1">
        <f t="shared" si="7"/>
        <v>0.004517666496178538</v>
      </c>
      <c r="AY20" s="1">
        <f t="shared" si="8"/>
        <v>0</v>
      </c>
      <c r="AZ20" s="1">
        <f t="shared" si="9"/>
        <v>0.0007894830333517107</v>
      </c>
      <c r="BA20" s="1">
        <f t="shared" si="10"/>
        <v>1.794540706079382</v>
      </c>
      <c r="BC20" s="15">
        <f t="shared" si="11"/>
        <v>1.7748396835779063</v>
      </c>
      <c r="BD20" s="15">
        <f t="shared" si="11"/>
        <v>0.012018207584490502</v>
      </c>
      <c r="BE20" s="15">
        <f t="shared" si="12"/>
        <v>0.06620178303468974</v>
      </c>
      <c r="BF20" s="15">
        <f t="shared" si="13"/>
        <v>0.08239800463210405</v>
      </c>
      <c r="BG20" s="15">
        <f t="shared" si="13"/>
        <v>0.0021145374449339205</v>
      </c>
      <c r="BH20" s="15">
        <f t="shared" si="13"/>
        <v>0.4195571699367811</v>
      </c>
      <c r="BI20" s="15">
        <f t="shared" si="13"/>
        <v>0.3696676379432713</v>
      </c>
      <c r="BJ20" s="15">
        <f t="shared" si="13"/>
        <v>0.004517666496178538</v>
      </c>
      <c r="BK20" s="15">
        <f t="shared" si="13"/>
        <v>0</v>
      </c>
      <c r="BL20" s="15">
        <f t="shared" si="14"/>
        <v>0.002368449100055132</v>
      </c>
      <c r="BM20" s="15">
        <f t="shared" si="15"/>
        <v>2.7336831397504104</v>
      </c>
      <c r="BN20" s="15">
        <f t="shared" si="16"/>
        <v>2.194841059943695</v>
      </c>
      <c r="BP20" s="22">
        <f t="shared" si="17"/>
        <v>1.9477455061671323</v>
      </c>
      <c r="BQ20" s="22">
        <f t="shared" si="18"/>
        <v>0.013189027736683245</v>
      </c>
      <c r="BR20" s="22">
        <f t="shared" si="19"/>
        <v>0.05225449383286773</v>
      </c>
      <c r="BS20" s="22">
        <f t="shared" si="20"/>
        <v>0.044613767264479576</v>
      </c>
      <c r="BT20" s="22">
        <f t="shared" si="21"/>
        <v>0.09686826109734731</v>
      </c>
      <c r="BU20" s="22">
        <f t="shared" si="22"/>
        <v>0.18085052382397274</v>
      </c>
      <c r="BV20" s="22">
        <f t="shared" si="23"/>
        <v>0.004641073606929399</v>
      </c>
      <c r="BW20" s="22">
        <f t="shared" si="24"/>
        <v>0.9208613035710217</v>
      </c>
      <c r="BX20" s="22">
        <f t="shared" si="25"/>
        <v>0.8113617102902917</v>
      </c>
      <c r="BY20" s="22">
        <f t="shared" si="26"/>
        <v>0.019831119841889247</v>
      </c>
      <c r="BZ20" s="22">
        <f t="shared" si="27"/>
        <v>0</v>
      </c>
      <c r="CA20" s="22">
        <f t="shared" si="28"/>
        <v>0.0034655795554584647</v>
      </c>
      <c r="CB20" s="15">
        <f t="shared" si="29"/>
        <v>3.998814105690726</v>
      </c>
      <c r="CC20" s="15">
        <f t="shared" si="30"/>
        <v>0</v>
      </c>
      <c r="CD20" s="15">
        <f t="shared" si="31"/>
        <v>-0.0035587379996080415</v>
      </c>
      <c r="CE20" s="15">
        <f t="shared" si="32"/>
        <v>0.019831119841889247</v>
      </c>
      <c r="CF20" s="15">
        <f t="shared" si="33"/>
        <v>0.02478264742259033</v>
      </c>
      <c r="CG20" s="15">
        <f t="shared" si="34"/>
        <v>0.013735923205138702</v>
      </c>
      <c r="CH20" s="15">
        <f t="shared" si="35"/>
        <v>0.0017327897777292323</v>
      </c>
      <c r="CI20" s="15">
        <f t="shared" si="36"/>
        <v>0.7711103498848334</v>
      </c>
      <c r="CJ20" s="15">
        <f t="shared" si="37"/>
        <v>0.1653007387550805</v>
      </c>
      <c r="CK20" s="15">
        <f t="shared" si="38"/>
        <v>0.13758634666516018</v>
      </c>
      <c r="CL20" s="15">
        <f t="shared" si="39"/>
        <v>0.6418256610065323</v>
      </c>
      <c r="CM20" s="15">
        <f t="shared" si="40"/>
        <v>0.9964935688872614</v>
      </c>
      <c r="CN20" s="15">
        <f t="shared" si="41"/>
        <v>0.7711103498848334</v>
      </c>
      <c r="CO20" s="15"/>
      <c r="CP20" s="1">
        <f t="shared" si="42"/>
        <v>0.8358458906158835</v>
      </c>
      <c r="CQ20" s="15">
        <f t="shared" si="43"/>
        <v>0.18085052382397274</v>
      </c>
      <c r="CR20" s="15">
        <f t="shared" si="44"/>
        <v>0.24975231184001387</v>
      </c>
      <c r="CS20" s="22">
        <f t="shared" si="45"/>
        <v>0.5851068494828572</v>
      </c>
      <c r="CT20" s="22">
        <f t="shared" si="46"/>
        <v>0.3601441167770871</v>
      </c>
      <c r="CU20" s="22">
        <f t="shared" si="127"/>
        <v>0.1586648164186252</v>
      </c>
      <c r="CV20" s="1">
        <f t="shared" si="47"/>
        <v>0.9373496903517226</v>
      </c>
      <c r="CW20" s="1">
        <f t="shared" si="48"/>
        <v>0.0016274656103997557</v>
      </c>
      <c r="CX20" s="1">
        <f t="shared" si="49"/>
        <v>0.013828816900579632</v>
      </c>
      <c r="CY20" s="1">
        <f t="shared" si="50"/>
        <v>0.14155197755211116</v>
      </c>
      <c r="CZ20" s="1">
        <f t="shared" si="51"/>
        <v>0.003665198237885463</v>
      </c>
      <c r="DA20" s="1">
        <f t="shared" si="52"/>
        <v>0.7661694504818332</v>
      </c>
      <c r="DB20" s="1">
        <f t="shared" si="53"/>
        <v>0.018724120590469604</v>
      </c>
      <c r="DC20" s="1">
        <f t="shared" si="54"/>
        <v>0.00032269046401275274</v>
      </c>
      <c r="DD20" s="1">
        <f t="shared" si="55"/>
        <v>0</v>
      </c>
      <c r="DE20" s="1">
        <f t="shared" si="56"/>
        <v>0.0010526440444689478</v>
      </c>
      <c r="DF20" s="1">
        <f t="shared" si="57"/>
        <v>1.8842920542334831</v>
      </c>
      <c r="DH20" s="15">
        <f t="shared" si="58"/>
        <v>1.874699380703445</v>
      </c>
      <c r="DI20" s="15">
        <f t="shared" si="58"/>
        <v>0.0032549312207995115</v>
      </c>
      <c r="DJ20" s="15">
        <f t="shared" si="59"/>
        <v>0.0414864507017389</v>
      </c>
      <c r="DK20" s="15">
        <f t="shared" si="60"/>
        <v>0.14155197755211116</v>
      </c>
      <c r="DL20" s="15">
        <f t="shared" si="60"/>
        <v>0.003665198237885463</v>
      </c>
      <c r="DM20" s="15">
        <f t="shared" si="60"/>
        <v>0.7661694504818332</v>
      </c>
      <c r="DN20" s="15">
        <f t="shared" si="60"/>
        <v>0.018724120590469604</v>
      </c>
      <c r="DO20" s="15">
        <f t="shared" si="60"/>
        <v>0.00032269046401275274</v>
      </c>
      <c r="DP20" s="15">
        <f t="shared" si="60"/>
        <v>0</v>
      </c>
      <c r="DQ20" s="15">
        <f t="shared" si="61"/>
        <v>0.0031579321334068433</v>
      </c>
      <c r="DR20" s="15">
        <f t="shared" si="62"/>
        <v>2.8530321320857026</v>
      </c>
      <c r="DS20" s="15">
        <f t="shared" si="63"/>
        <v>2.1030257362063827</v>
      </c>
      <c r="DU20" s="22">
        <f t="shared" si="64"/>
        <v>1.9712705226347562</v>
      </c>
      <c r="DV20" s="22">
        <f t="shared" si="65"/>
        <v>0.0034226020634615163</v>
      </c>
      <c r="DW20" s="22">
        <f t="shared" si="66"/>
        <v>0.028729477365243783</v>
      </c>
      <c r="DX20" s="22">
        <f t="shared" si="67"/>
        <v>0.029435238321165715</v>
      </c>
      <c r="DY20" s="22">
        <f t="shared" si="68"/>
        <v>0.0581647156864095</v>
      </c>
      <c r="DZ20" s="22">
        <f t="shared" si="69"/>
        <v>0.29768745180299794</v>
      </c>
      <c r="EA20" s="22">
        <f t="shared" si="70"/>
        <v>0.007708006222571412</v>
      </c>
      <c r="EB20" s="22">
        <f t="shared" si="71"/>
        <v>1.6112740726583967</v>
      </c>
      <c r="EC20" s="22">
        <f t="shared" si="72"/>
        <v>0.039377307489589425</v>
      </c>
      <c r="ED20" s="22">
        <f t="shared" si="73"/>
        <v>0.001357252701294397</v>
      </c>
      <c r="EE20" s="22">
        <f t="shared" si="74"/>
        <v>0</v>
      </c>
      <c r="EF20" s="22">
        <f t="shared" si="75"/>
        <v>0.004427475033165146</v>
      </c>
      <c r="EG20" s="15">
        <f t="shared" si="76"/>
        <v>3.9946894062926424</v>
      </c>
      <c r="EH20" s="15">
        <f t="shared" si="77"/>
        <v>0</v>
      </c>
      <c r="EI20" s="15">
        <f t="shared" si="78"/>
        <v>-0.015952961045709202</v>
      </c>
      <c r="EJ20" s="15">
        <f t="shared" si="79"/>
        <v>0.001357252701294397</v>
      </c>
      <c r="EK20" s="15">
        <f t="shared" si="80"/>
        <v>0.0034226020634615163</v>
      </c>
      <c r="EL20" s="15">
        <f t="shared" si="81"/>
        <v>0.004427475033165146</v>
      </c>
      <c r="EM20" s="15">
        <f t="shared" si="82"/>
        <v>0.02365051058670617</v>
      </c>
      <c r="EN20" s="15">
        <f t="shared" si="83"/>
        <v>0.039377307489589425</v>
      </c>
      <c r="EO20" s="15">
        <f t="shared" si="84"/>
        <v>0.9251095552721045</v>
      </c>
      <c r="EP20" s="15">
        <f t="shared" si="85"/>
        <v>0.777705815695081</v>
      </c>
      <c r="EQ20" s="15">
        <f t="shared" si="86"/>
        <v>0.03310306424416908</v>
      </c>
      <c r="ER20" s="15">
        <f t="shared" si="87"/>
        <v>0.6525320737780236</v>
      </c>
      <c r="ES20" s="15">
        <f t="shared" si="88"/>
        <v>0.039262530210383506</v>
      </c>
      <c r="ET20" s="15">
        <f t="shared" si="89"/>
        <v>0.15594209102092257</v>
      </c>
      <c r="EU20" s="15">
        <f t="shared" si="90"/>
        <v>0.6715779892407719</v>
      </c>
      <c r="EV20" s="15">
        <f t="shared" si="91"/>
        <v>0.9973447031463212</v>
      </c>
      <c r="EX20" s="1">
        <f t="shared" si="92"/>
        <v>980</v>
      </c>
      <c r="EY20" s="1">
        <f t="shared" si="93"/>
        <v>2</v>
      </c>
      <c r="FA20" s="1">
        <f t="shared" si="94"/>
        <v>0.1924568939738853</v>
      </c>
      <c r="FB20" s="1">
        <f t="shared" si="95"/>
        <v>1148.0527860114596</v>
      </c>
      <c r="FD20" s="1">
        <f t="shared" si="96"/>
        <v>1279.8121912582953</v>
      </c>
      <c r="FE20" s="1">
        <f t="shared" si="97"/>
        <v>971.0566473845472</v>
      </c>
      <c r="FF20" s="1">
        <f t="shared" si="98"/>
        <v>1251.3982647003731</v>
      </c>
      <c r="FG20" s="1">
        <f t="shared" si="99"/>
        <v>1004.6280626082902</v>
      </c>
      <c r="FH20" s="1">
        <f t="shared" si="100"/>
        <v>0.3827433499076918</v>
      </c>
      <c r="FI20" s="1">
        <f t="shared" si="101"/>
        <v>1497.471019735427</v>
      </c>
      <c r="FJ20" s="1">
        <f t="shared" si="102"/>
        <v>1089.1177205490603</v>
      </c>
      <c r="FL20" s="1">
        <f t="shared" si="103"/>
        <v>1258.9132459148027</v>
      </c>
      <c r="FM20" s="1">
        <f t="shared" si="104"/>
        <v>601.7400592767345</v>
      </c>
      <c r="FO20" s="1">
        <f t="shared" si="105"/>
        <v>36.65900052417284</v>
      </c>
      <c r="FP20" s="1">
        <f t="shared" si="106"/>
        <v>28.823019066811103</v>
      </c>
      <c r="FR20" s="1">
        <f t="shared" si="107"/>
        <v>26.18542</v>
      </c>
      <c r="FS20" s="1">
        <f t="shared" si="108"/>
        <v>32.26708</v>
      </c>
      <c r="FT20" s="1">
        <f t="shared" si="109"/>
        <v>25.102</v>
      </c>
      <c r="FU20" s="1">
        <f t="shared" si="110"/>
        <v>1066.744699969338</v>
      </c>
      <c r="FV20" s="1">
        <f t="shared" si="111"/>
        <v>844.6067803908869</v>
      </c>
      <c r="FX20" s="1">
        <f t="shared" si="112"/>
        <v>1002.6188496815843</v>
      </c>
      <c r="FY20" s="1">
        <f t="shared" si="113"/>
        <v>1028.0875633996593</v>
      </c>
      <c r="GA20" s="1">
        <f t="shared" si="114"/>
        <v>1290.132159754031</v>
      </c>
      <c r="GC20" s="1">
        <f t="shared" si="128"/>
        <v>4.099410731287854</v>
      </c>
      <c r="GD20" s="1">
        <f t="shared" si="115"/>
        <v>2.099410731287854</v>
      </c>
      <c r="GE20" s="2">
        <f t="shared" si="116"/>
        <v>2</v>
      </c>
    </row>
    <row r="21" spans="1:187" ht="12.75">
      <c r="A21" s="1" t="s">
        <v>47</v>
      </c>
      <c r="B21" s="1" t="s">
        <v>46</v>
      </c>
      <c r="C21" s="23">
        <v>1.5</v>
      </c>
      <c r="D21" s="2">
        <v>1350</v>
      </c>
      <c r="F21" s="1">
        <v>3031</v>
      </c>
      <c r="G21" s="23">
        <v>51.58</v>
      </c>
      <c r="H21" s="23">
        <v>0</v>
      </c>
      <c r="I21" s="23">
        <v>7.28</v>
      </c>
      <c r="J21" s="23">
        <v>3.75</v>
      </c>
      <c r="K21" s="23">
        <v>0</v>
      </c>
      <c r="L21" s="23">
        <v>19.55</v>
      </c>
      <c r="M21" s="23">
        <v>15.94</v>
      </c>
      <c r="N21" s="23">
        <v>0.7</v>
      </c>
      <c r="O21" s="23">
        <v>0</v>
      </c>
      <c r="P21" s="23">
        <v>1.2</v>
      </c>
      <c r="R21" s="23">
        <v>54.4</v>
      </c>
      <c r="S21" s="23">
        <v>0</v>
      </c>
      <c r="T21" s="23">
        <v>5.4</v>
      </c>
      <c r="U21" s="23">
        <v>5.9</v>
      </c>
      <c r="V21" s="23">
        <v>0</v>
      </c>
      <c r="W21" s="23">
        <v>31.2</v>
      </c>
      <c r="X21" s="23">
        <v>2.3</v>
      </c>
      <c r="Y21" s="23">
        <v>0.2</v>
      </c>
      <c r="Z21" s="23">
        <v>0</v>
      </c>
      <c r="AA21" s="23">
        <v>0.6</v>
      </c>
      <c r="AC21" s="50">
        <f t="shared" si="117"/>
        <v>1430.9405049189368</v>
      </c>
      <c r="AD21" s="50">
        <f t="shared" si="118"/>
        <v>18.829133303538804</v>
      </c>
      <c r="AF21" s="27">
        <f t="shared" si="119"/>
        <v>1311.5282980794732</v>
      </c>
      <c r="AG21" s="27"/>
      <c r="AH21" s="27">
        <f t="shared" si="120"/>
        <v>1430.9405917019205</v>
      </c>
      <c r="AI21" s="27">
        <f t="shared" si="121"/>
        <v>1377.8547642086992</v>
      </c>
      <c r="AJ21" s="27">
        <f t="shared" si="122"/>
        <v>14.809876669875802</v>
      </c>
      <c r="AK21" s="27">
        <f t="shared" si="123"/>
        <v>18.829133303538804</v>
      </c>
      <c r="AL21" s="29">
        <f t="shared" si="124"/>
        <v>1323.3901402033882</v>
      </c>
      <c r="AM21" s="42">
        <f t="shared" si="125"/>
        <v>1.014348259569119</v>
      </c>
      <c r="AN21" s="44"/>
      <c r="AO21" s="1">
        <f t="shared" si="126"/>
        <v>0.21996912167557198</v>
      </c>
      <c r="AQ21" s="1">
        <f t="shared" si="0"/>
        <v>0.8584605296225469</v>
      </c>
      <c r="AR21" s="1">
        <f t="shared" si="1"/>
        <v>0</v>
      </c>
      <c r="AS21" s="1">
        <f t="shared" si="2"/>
        <v>0.07139984896185797</v>
      </c>
      <c r="AT21" s="1">
        <f t="shared" si="3"/>
        <v>0.05219468198824158</v>
      </c>
      <c r="AU21" s="1">
        <f t="shared" si="4"/>
        <v>0</v>
      </c>
      <c r="AV21" s="1">
        <f t="shared" si="5"/>
        <v>0.48505870326812955</v>
      </c>
      <c r="AW21" s="1">
        <f t="shared" si="6"/>
        <v>0.284249983059129</v>
      </c>
      <c r="AX21" s="1">
        <f t="shared" si="7"/>
        <v>0.011294166240446345</v>
      </c>
      <c r="AY21" s="1">
        <f t="shared" si="8"/>
        <v>0</v>
      </c>
      <c r="AZ21" s="1">
        <f t="shared" si="9"/>
        <v>0.007894830333517107</v>
      </c>
      <c r="BA21" s="1">
        <f t="shared" si="10"/>
        <v>1.7705527434738686</v>
      </c>
      <c r="BC21" s="15">
        <f t="shared" si="11"/>
        <v>1.7169210592450939</v>
      </c>
      <c r="BD21" s="15">
        <f t="shared" si="11"/>
        <v>0</v>
      </c>
      <c r="BE21" s="15">
        <f t="shared" si="12"/>
        <v>0.2141995468855739</v>
      </c>
      <c r="BF21" s="15">
        <f t="shared" si="13"/>
        <v>0.05219468198824158</v>
      </c>
      <c r="BG21" s="15">
        <f t="shared" si="13"/>
        <v>0</v>
      </c>
      <c r="BH21" s="15">
        <f t="shared" si="13"/>
        <v>0.48505870326812955</v>
      </c>
      <c r="BI21" s="15">
        <f t="shared" si="13"/>
        <v>0.284249983059129</v>
      </c>
      <c r="BJ21" s="15">
        <f t="shared" si="13"/>
        <v>0.011294166240446345</v>
      </c>
      <c r="BK21" s="15">
        <f t="shared" si="13"/>
        <v>0</v>
      </c>
      <c r="BL21" s="15">
        <f t="shared" si="14"/>
        <v>0.023684491000551318</v>
      </c>
      <c r="BM21" s="15">
        <f t="shared" si="15"/>
        <v>2.7876026316871654</v>
      </c>
      <c r="BN21" s="15">
        <f t="shared" si="16"/>
        <v>2.1523871199563933</v>
      </c>
      <c r="BP21" s="22">
        <f t="shared" si="17"/>
        <v>1.8477393869505139</v>
      </c>
      <c r="BQ21" s="22">
        <f t="shared" si="18"/>
        <v>0</v>
      </c>
      <c r="BR21" s="22">
        <f t="shared" si="19"/>
        <v>0.15226061304948613</v>
      </c>
      <c r="BS21" s="22">
        <f t="shared" si="20"/>
        <v>0.1550996174951838</v>
      </c>
      <c r="BT21" s="22">
        <f t="shared" si="21"/>
        <v>0.30736023054466993</v>
      </c>
      <c r="BU21" s="22">
        <f t="shared" si="22"/>
        <v>0.11234316124171113</v>
      </c>
      <c r="BV21" s="22">
        <f t="shared" si="23"/>
        <v>0</v>
      </c>
      <c r="BW21" s="22">
        <f t="shared" si="24"/>
        <v>1.044034105337072</v>
      </c>
      <c r="BX21" s="22">
        <f t="shared" si="25"/>
        <v>0.6118160023842923</v>
      </c>
      <c r="BY21" s="22">
        <f t="shared" si="26"/>
        <v>0.04861883589316607</v>
      </c>
      <c r="BZ21" s="22">
        <f t="shared" si="27"/>
        <v>0</v>
      </c>
      <c r="CA21" s="22">
        <f t="shared" si="28"/>
        <v>0.03398546224820651</v>
      </c>
      <c r="CB21" s="15">
        <f t="shared" si="29"/>
        <v>4.005897184599632</v>
      </c>
      <c r="CC21" s="15">
        <f t="shared" si="30"/>
        <v>0.011794369199261877</v>
      </c>
      <c r="CD21" s="15">
        <f t="shared" si="31"/>
        <v>0.01766550960609692</v>
      </c>
      <c r="CE21" s="15">
        <f t="shared" si="32"/>
        <v>0.04861883589316607</v>
      </c>
      <c r="CF21" s="15">
        <f t="shared" si="33"/>
        <v>0.10648078160201774</v>
      </c>
      <c r="CG21" s="15">
        <f t="shared" si="34"/>
        <v>0.022889915723734194</v>
      </c>
      <c r="CH21" s="15">
        <f t="shared" si="35"/>
        <v>0.016992731124103256</v>
      </c>
      <c r="CI21" s="15">
        <f t="shared" si="36"/>
        <v>0.4654525739344371</v>
      </c>
      <c r="CJ21" s="15">
        <f t="shared" si="37"/>
        <v>0.3454623463221731</v>
      </c>
      <c r="CK21" s="15">
        <f t="shared" si="38"/>
        <v>0.3119003478312873</v>
      </c>
      <c r="CL21" s="15">
        <f t="shared" si="39"/>
        <v>0.42023340967449746</v>
      </c>
      <c r="CM21" s="15">
        <f t="shared" si="40"/>
        <v>1.0058971845996316</v>
      </c>
      <c r="CN21" s="15">
        <f t="shared" si="41"/>
        <v>0.46545257393443706</v>
      </c>
      <c r="CO21" s="15"/>
      <c r="CP21" s="1">
        <f t="shared" si="42"/>
        <v>0.912152459841352</v>
      </c>
      <c r="CQ21" s="15">
        <f t="shared" si="43"/>
        <v>0.10054879204244926</v>
      </c>
      <c r="CR21" s="15">
        <f t="shared" si="44"/>
        <v>0.2859086038452238</v>
      </c>
      <c r="CS21" s="22">
        <f t="shared" si="45"/>
        <v>0.4963113132676807</v>
      </c>
      <c r="CT21" s="22">
        <f t="shared" si="46"/>
        <v>0.4031961820108535</v>
      </c>
      <c r="CU21" s="22">
        <f t="shared" si="127"/>
        <v>0.2733559775978762</v>
      </c>
      <c r="CV21" s="1">
        <f t="shared" si="47"/>
        <v>0.9053945872715501</v>
      </c>
      <c r="CW21" s="1">
        <f t="shared" si="48"/>
        <v>0</v>
      </c>
      <c r="CX21" s="1">
        <f t="shared" si="49"/>
        <v>0.05296142642775179</v>
      </c>
      <c r="CY21" s="1">
        <f t="shared" si="50"/>
        <v>0.08211963299483342</v>
      </c>
      <c r="CZ21" s="1">
        <f t="shared" si="51"/>
        <v>0</v>
      </c>
      <c r="DA21" s="1">
        <f t="shared" si="52"/>
        <v>0.7741090302795725</v>
      </c>
      <c r="DB21" s="1">
        <f t="shared" si="53"/>
        <v>0.04101474034102865</v>
      </c>
      <c r="DC21" s="1">
        <f t="shared" si="54"/>
        <v>0.0032269046401275274</v>
      </c>
      <c r="DD21" s="1">
        <f t="shared" si="55"/>
        <v>0</v>
      </c>
      <c r="DE21" s="1">
        <f t="shared" si="56"/>
        <v>0.003947415166758553</v>
      </c>
      <c r="DF21" s="1">
        <f t="shared" si="57"/>
        <v>1.8627737371216222</v>
      </c>
      <c r="DH21" s="15">
        <f t="shared" si="58"/>
        <v>1.8107891745431002</v>
      </c>
      <c r="DI21" s="15">
        <f t="shared" si="58"/>
        <v>0</v>
      </c>
      <c r="DJ21" s="15">
        <f t="shared" si="59"/>
        <v>0.15888427928325538</v>
      </c>
      <c r="DK21" s="15">
        <f t="shared" si="60"/>
        <v>0.08211963299483342</v>
      </c>
      <c r="DL21" s="15">
        <f t="shared" si="60"/>
        <v>0</v>
      </c>
      <c r="DM21" s="15">
        <f t="shared" si="60"/>
        <v>0.7741090302795725</v>
      </c>
      <c r="DN21" s="15">
        <f t="shared" si="60"/>
        <v>0.04101474034102865</v>
      </c>
      <c r="DO21" s="15">
        <f t="shared" si="60"/>
        <v>0.0032269046401275274</v>
      </c>
      <c r="DP21" s="15">
        <f t="shared" si="60"/>
        <v>0</v>
      </c>
      <c r="DQ21" s="15">
        <f t="shared" si="61"/>
        <v>0.011842245500275659</v>
      </c>
      <c r="DR21" s="15">
        <f t="shared" si="62"/>
        <v>2.881986007582193</v>
      </c>
      <c r="DS21" s="15">
        <f t="shared" si="63"/>
        <v>2.081897685906403</v>
      </c>
      <c r="DU21" s="22">
        <f t="shared" si="64"/>
        <v>1.8849388960728228</v>
      </c>
      <c r="DV21" s="22">
        <f t="shared" si="65"/>
        <v>0</v>
      </c>
      <c r="DW21" s="22">
        <f t="shared" si="66"/>
        <v>0.11506110392717717</v>
      </c>
      <c r="DX21" s="22">
        <f t="shared" si="67"/>
        <v>0.10545943831730017</v>
      </c>
      <c r="DY21" s="22">
        <f t="shared" si="68"/>
        <v>0.22052054224447734</v>
      </c>
      <c r="DZ21" s="22">
        <f t="shared" si="69"/>
        <v>0.1709646738994268</v>
      </c>
      <c r="EA21" s="22">
        <f t="shared" si="70"/>
        <v>0</v>
      </c>
      <c r="EB21" s="22">
        <f t="shared" si="71"/>
        <v>1.6116157987782915</v>
      </c>
      <c r="EC21" s="22">
        <f t="shared" si="72"/>
        <v>0.08538849300403954</v>
      </c>
      <c r="ED21" s="22">
        <f t="shared" si="73"/>
        <v>0.013436170605844266</v>
      </c>
      <c r="EE21" s="22">
        <f t="shared" si="74"/>
        <v>0</v>
      </c>
      <c r="EF21" s="22">
        <f t="shared" si="75"/>
        <v>0.01643622900197294</v>
      </c>
      <c r="EG21" s="15">
        <f t="shared" si="76"/>
        <v>4.003300803606875</v>
      </c>
      <c r="EH21" s="15">
        <f t="shared" si="77"/>
        <v>0.006601607213748313</v>
      </c>
      <c r="EI21" s="15">
        <f t="shared" si="78"/>
        <v>0.009894246079836577</v>
      </c>
      <c r="EJ21" s="15">
        <f t="shared" si="79"/>
        <v>0.013436170605844266</v>
      </c>
      <c r="EK21" s="15">
        <f t="shared" si="80"/>
        <v>0</v>
      </c>
      <c r="EL21" s="15">
        <f t="shared" si="81"/>
        <v>0.01643622900197294</v>
      </c>
      <c r="EM21" s="15">
        <f t="shared" si="82"/>
        <v>0.07558703870948297</v>
      </c>
      <c r="EN21" s="15">
        <f t="shared" si="83"/>
        <v>0.08538849300403954</v>
      </c>
      <c r="EO21" s="15">
        <f t="shared" si="84"/>
        <v>0.8108024704820979</v>
      </c>
      <c r="EP21" s="15">
        <f t="shared" si="85"/>
        <v>0.7330395968909862</v>
      </c>
      <c r="EQ21" s="15">
        <f t="shared" si="86"/>
        <v>0.07719900810562709</v>
      </c>
      <c r="ER21" s="15">
        <f t="shared" si="87"/>
        <v>0.6473303847825329</v>
      </c>
      <c r="ES21" s="15">
        <f t="shared" si="88"/>
        <v>0.08652946215561337</v>
      </c>
      <c r="ET21" s="15">
        <f t="shared" si="89"/>
        <v>0.09254787310925518</v>
      </c>
      <c r="EU21" s="15">
        <f t="shared" si="90"/>
        <v>0.6859862380977085</v>
      </c>
      <c r="EV21" s="15">
        <f t="shared" si="91"/>
        <v>1.0016504018034376</v>
      </c>
      <c r="EX21" s="1">
        <f t="shared" si="92"/>
        <v>1350</v>
      </c>
      <c r="EY21" s="1">
        <f t="shared" si="93"/>
        <v>15</v>
      </c>
      <c r="FA21" s="1">
        <f t="shared" si="94"/>
        <v>0.4037128089509289</v>
      </c>
      <c r="FB21" s="1">
        <f t="shared" si="95"/>
        <v>1399.4931197994383</v>
      </c>
      <c r="FD21" s="1">
        <f t="shared" si="96"/>
        <v>1213.068400493263</v>
      </c>
      <c r="FE21" s="1">
        <f t="shared" si="97"/>
        <v>1113.016661834508</v>
      </c>
      <c r="FF21" s="1">
        <f t="shared" si="98"/>
        <v>1521.497659787579</v>
      </c>
      <c r="FG21" s="1">
        <f t="shared" si="99"/>
        <v>1371.6338981389451</v>
      </c>
      <c r="FH21" s="1">
        <f t="shared" si="100"/>
        <v>0.4416733874484715</v>
      </c>
      <c r="FI21" s="1">
        <f t="shared" si="101"/>
        <v>1594.096677956442</v>
      </c>
      <c r="FJ21" s="1">
        <f t="shared" si="102"/>
        <v>1397.580482935824</v>
      </c>
      <c r="FL21" s="1">
        <f t="shared" si="103"/>
        <v>1401.5208943787652</v>
      </c>
      <c r="FM21" s="1">
        <f t="shared" si="104"/>
        <v>984.7768228673643</v>
      </c>
      <c r="FO21" s="1">
        <f t="shared" si="105"/>
        <v>33.70065368737785</v>
      </c>
      <c r="FP21" s="1">
        <f t="shared" si="106"/>
        <v>26.771516741663074</v>
      </c>
      <c r="FR21" s="1">
        <f t="shared" si="107"/>
        <v>25.89565</v>
      </c>
      <c r="FS21" s="1">
        <f t="shared" si="108"/>
        <v>31.143099999999997</v>
      </c>
      <c r="FT21" s="1">
        <f t="shared" si="109"/>
        <v>2.3649999999999984</v>
      </c>
      <c r="FU21" s="1">
        <f t="shared" si="110"/>
        <v>1013.8437157474176</v>
      </c>
      <c r="FV21" s="1">
        <f t="shared" si="111"/>
        <v>1447.9357341490054</v>
      </c>
      <c r="FX21" s="1">
        <f t="shared" si="112"/>
        <v>1311.8227832618845</v>
      </c>
      <c r="FY21" s="1">
        <f t="shared" si="113"/>
        <v>1401.2501282572393</v>
      </c>
      <c r="GA21" s="1">
        <f t="shared" si="114"/>
        <v>1396.0172635278805</v>
      </c>
      <c r="GC21" s="1">
        <f t="shared" si="128"/>
        <v>14.809876669875802</v>
      </c>
      <c r="GD21" s="1">
        <f t="shared" si="115"/>
        <v>-0.19012333012419802</v>
      </c>
      <c r="GE21" s="2">
        <f t="shared" si="116"/>
        <v>15</v>
      </c>
    </row>
    <row r="22" spans="1:187" ht="12.75">
      <c r="A22" s="1" t="s">
        <v>47</v>
      </c>
      <c r="B22" s="1" t="s">
        <v>48</v>
      </c>
      <c r="C22" s="23">
        <v>1.5</v>
      </c>
      <c r="D22" s="2">
        <v>1325</v>
      </c>
      <c r="F22" s="1">
        <v>3030</v>
      </c>
      <c r="G22" s="23">
        <v>51.12</v>
      </c>
      <c r="H22" s="23">
        <v>0.1</v>
      </c>
      <c r="I22" s="23">
        <v>8.07</v>
      </c>
      <c r="J22" s="23">
        <v>3.57</v>
      </c>
      <c r="K22" s="23">
        <v>0</v>
      </c>
      <c r="L22" s="23">
        <v>17.95</v>
      </c>
      <c r="M22" s="23">
        <v>17.26</v>
      </c>
      <c r="N22" s="23">
        <v>0.77</v>
      </c>
      <c r="O22" s="23">
        <v>0</v>
      </c>
      <c r="P22" s="23">
        <v>1.16</v>
      </c>
      <c r="R22" s="23">
        <v>54.1</v>
      </c>
      <c r="S22" s="23">
        <v>0</v>
      </c>
      <c r="T22" s="23">
        <v>5.7</v>
      </c>
      <c r="U22" s="23">
        <v>6.3</v>
      </c>
      <c r="V22" s="23">
        <v>0</v>
      </c>
      <c r="W22" s="23">
        <v>31.5</v>
      </c>
      <c r="X22" s="23">
        <v>1.65</v>
      </c>
      <c r="Y22" s="23">
        <v>0.25</v>
      </c>
      <c r="Z22" s="23">
        <v>0</v>
      </c>
      <c r="AA22" s="23">
        <v>0.5</v>
      </c>
      <c r="AC22" s="50">
        <f t="shared" si="117"/>
        <v>1344.1487934263894</v>
      </c>
      <c r="AD22" s="50">
        <f t="shared" si="118"/>
        <v>17.029610513977648</v>
      </c>
      <c r="AF22" s="27">
        <f t="shared" si="119"/>
        <v>1258.9355081556969</v>
      </c>
      <c r="AG22" s="27"/>
      <c r="AH22" s="27">
        <f t="shared" si="120"/>
        <v>1344.1487996100177</v>
      </c>
      <c r="AI22" s="27">
        <f t="shared" si="121"/>
        <v>1311.2679818207152</v>
      </c>
      <c r="AJ22" s="27">
        <f t="shared" si="122"/>
        <v>14.906103538311516</v>
      </c>
      <c r="AK22" s="27">
        <f t="shared" si="123"/>
        <v>17.029610513977648</v>
      </c>
      <c r="AL22" s="29">
        <f t="shared" si="124"/>
        <v>1256.248873606335</v>
      </c>
      <c r="AM22" s="42">
        <f t="shared" si="125"/>
        <v>0.9944289693593317</v>
      </c>
      <c r="AN22" s="44"/>
      <c r="AO22" s="1">
        <f t="shared" si="126"/>
        <v>0.18256578429762702</v>
      </c>
      <c r="AQ22" s="1">
        <f t="shared" si="0"/>
        <v>0.850804619509589</v>
      </c>
      <c r="AR22" s="1">
        <f t="shared" si="1"/>
        <v>0.0012518966233844276</v>
      </c>
      <c r="AS22" s="1">
        <f t="shared" si="2"/>
        <v>0.07914790949480684</v>
      </c>
      <c r="AT22" s="1">
        <f t="shared" si="3"/>
        <v>0.049689337252805985</v>
      </c>
      <c r="AU22" s="1">
        <f t="shared" si="4"/>
        <v>0</v>
      </c>
      <c r="AV22" s="1">
        <f t="shared" si="5"/>
        <v>0.4453608042794335</v>
      </c>
      <c r="AW22" s="1">
        <f t="shared" si="6"/>
        <v>0.3077888775157194</v>
      </c>
      <c r="AX22" s="1">
        <f t="shared" si="7"/>
        <v>0.01242358286449098</v>
      </c>
      <c r="AY22" s="1">
        <f t="shared" si="8"/>
        <v>0</v>
      </c>
      <c r="AZ22" s="1">
        <f t="shared" si="9"/>
        <v>0.0076316693223998705</v>
      </c>
      <c r="BA22" s="1">
        <f t="shared" si="10"/>
        <v>1.75409869686263</v>
      </c>
      <c r="BC22" s="15">
        <f t="shared" si="11"/>
        <v>1.701609239019178</v>
      </c>
      <c r="BD22" s="15">
        <f t="shared" si="11"/>
        <v>0.002503793246768855</v>
      </c>
      <c r="BE22" s="15">
        <f t="shared" si="12"/>
        <v>0.23744372848442052</v>
      </c>
      <c r="BF22" s="15">
        <f t="shared" si="13"/>
        <v>0.049689337252805985</v>
      </c>
      <c r="BG22" s="15">
        <f t="shared" si="13"/>
        <v>0</v>
      </c>
      <c r="BH22" s="15">
        <f t="shared" si="13"/>
        <v>0.4453608042794335</v>
      </c>
      <c r="BI22" s="15">
        <f t="shared" si="13"/>
        <v>0.3077888775157194</v>
      </c>
      <c r="BJ22" s="15">
        <f t="shared" si="13"/>
        <v>0.01242358286449098</v>
      </c>
      <c r="BK22" s="15">
        <f t="shared" si="13"/>
        <v>0</v>
      </c>
      <c r="BL22" s="15">
        <f t="shared" si="14"/>
        <v>0.02289500796719961</v>
      </c>
      <c r="BM22" s="15">
        <f t="shared" si="15"/>
        <v>2.7797143706300167</v>
      </c>
      <c r="BN22" s="15">
        <f t="shared" si="16"/>
        <v>2.1584951545363675</v>
      </c>
      <c r="BP22" s="22">
        <f t="shared" si="17"/>
        <v>1.8364576486686057</v>
      </c>
      <c r="BQ22" s="22">
        <f t="shared" si="18"/>
        <v>0.0027022127955557266</v>
      </c>
      <c r="BR22" s="22">
        <f t="shared" si="19"/>
        <v>0.16354235133139428</v>
      </c>
      <c r="BS22" s="22">
        <f t="shared" si="20"/>
        <v>0.17813840694105276</v>
      </c>
      <c r="BT22" s="22">
        <f t="shared" si="21"/>
        <v>0.34168075827244704</v>
      </c>
      <c r="BU22" s="22">
        <f t="shared" si="22"/>
        <v>0.10725419369230514</v>
      </c>
      <c r="BV22" s="22">
        <f t="shared" si="23"/>
        <v>0</v>
      </c>
      <c r="BW22" s="22">
        <f t="shared" si="24"/>
        <v>0.9613091380575767</v>
      </c>
      <c r="BX22" s="22">
        <f t="shared" si="25"/>
        <v>0.6643608007378677</v>
      </c>
      <c r="BY22" s="22">
        <f t="shared" si="26"/>
        <v>0.05363248682996965</v>
      </c>
      <c r="BZ22" s="22">
        <f t="shared" si="27"/>
        <v>0</v>
      </c>
      <c r="CA22" s="22">
        <f t="shared" si="28"/>
        <v>0.03294584250684793</v>
      </c>
      <c r="CB22" s="15">
        <f t="shared" si="29"/>
        <v>4.000343081561176</v>
      </c>
      <c r="CC22" s="15">
        <f t="shared" si="30"/>
        <v>0.000686163122351785</v>
      </c>
      <c r="CD22" s="15">
        <f t="shared" si="31"/>
        <v>0.0010291564123789954</v>
      </c>
      <c r="CE22" s="15">
        <f t="shared" si="32"/>
        <v>0.05363248682996965</v>
      </c>
      <c r="CF22" s="15">
        <f t="shared" si="33"/>
        <v>0.12450592011108311</v>
      </c>
      <c r="CG22" s="15">
        <f t="shared" si="34"/>
        <v>0.019518215610155584</v>
      </c>
      <c r="CH22" s="15">
        <f t="shared" si="35"/>
        <v>0.016472921253423964</v>
      </c>
      <c r="CI22" s="15">
        <f t="shared" si="36"/>
        <v>0.5038637437632052</v>
      </c>
      <c r="CJ22" s="15">
        <f t="shared" si="37"/>
        <v>0.28234979399333826</v>
      </c>
      <c r="CK22" s="15">
        <f t="shared" si="38"/>
        <v>0.25400968667901364</v>
      </c>
      <c r="CL22" s="15">
        <f t="shared" si="39"/>
        <v>0.4532897646995494</v>
      </c>
      <c r="CM22" s="15">
        <f t="shared" si="40"/>
        <v>1.0003430815611758</v>
      </c>
      <c r="CN22" s="15">
        <f t="shared" si="41"/>
        <v>0.5038637437632052</v>
      </c>
      <c r="CO22" s="15"/>
      <c r="CP22" s="1">
        <f t="shared" si="42"/>
        <v>0.9002057224363004</v>
      </c>
      <c r="CQ22" s="15">
        <f t="shared" si="43"/>
        <v>0.10656803056995336</v>
      </c>
      <c r="CR22" s="15">
        <f t="shared" si="44"/>
        <v>0.2465728019711961</v>
      </c>
      <c r="CS22" s="22">
        <f t="shared" si="45"/>
        <v>0.5306684937570609</v>
      </c>
      <c r="CT22" s="22">
        <f t="shared" si="46"/>
        <v>0.35788235797486057</v>
      </c>
      <c r="CU22" s="22">
        <f t="shared" si="127"/>
        <v>0.2216207437492195</v>
      </c>
      <c r="CV22" s="1">
        <f t="shared" si="47"/>
        <v>0.9004016024152732</v>
      </c>
      <c r="CW22" s="1">
        <f t="shared" si="48"/>
        <v>0</v>
      </c>
      <c r="CX22" s="1">
        <f t="shared" si="49"/>
        <v>0.05590372789596022</v>
      </c>
      <c r="CY22" s="1">
        <f t="shared" si="50"/>
        <v>0.08768706574024585</v>
      </c>
      <c r="CZ22" s="1">
        <f t="shared" si="51"/>
        <v>0</v>
      </c>
      <c r="DA22" s="1">
        <f t="shared" si="52"/>
        <v>0.7815523863399529</v>
      </c>
      <c r="DB22" s="1">
        <f t="shared" si="53"/>
        <v>0.029423618070737945</v>
      </c>
      <c r="DC22" s="1">
        <f t="shared" si="54"/>
        <v>0.004033630800159409</v>
      </c>
      <c r="DD22" s="1">
        <f t="shared" si="55"/>
        <v>0</v>
      </c>
      <c r="DE22" s="1">
        <f t="shared" si="56"/>
        <v>0.0032895126389654613</v>
      </c>
      <c r="DF22" s="1">
        <f t="shared" si="57"/>
        <v>1.8622915439012948</v>
      </c>
      <c r="DH22" s="15">
        <f t="shared" si="58"/>
        <v>1.8008032048305465</v>
      </c>
      <c r="DI22" s="15">
        <f t="shared" si="58"/>
        <v>0</v>
      </c>
      <c r="DJ22" s="15">
        <f t="shared" si="59"/>
        <v>0.16771118368788068</v>
      </c>
      <c r="DK22" s="15">
        <f t="shared" si="60"/>
        <v>0.08768706574024585</v>
      </c>
      <c r="DL22" s="15">
        <f t="shared" si="60"/>
        <v>0</v>
      </c>
      <c r="DM22" s="15">
        <f t="shared" si="60"/>
        <v>0.7815523863399529</v>
      </c>
      <c r="DN22" s="15">
        <f t="shared" si="60"/>
        <v>0.029423618070737945</v>
      </c>
      <c r="DO22" s="15">
        <f t="shared" si="60"/>
        <v>0.004033630800159409</v>
      </c>
      <c r="DP22" s="15">
        <f t="shared" si="60"/>
        <v>0</v>
      </c>
      <c r="DQ22" s="15">
        <f t="shared" si="61"/>
        <v>0.009868537916896384</v>
      </c>
      <c r="DR22" s="15">
        <f t="shared" si="62"/>
        <v>2.88107962738642</v>
      </c>
      <c r="DS22" s="15">
        <f t="shared" si="63"/>
        <v>2.0825526455313277</v>
      </c>
      <c r="DU22" s="22">
        <f t="shared" si="64"/>
        <v>1.875133739150574</v>
      </c>
      <c r="DV22" s="22">
        <f t="shared" si="65"/>
        <v>0</v>
      </c>
      <c r="DW22" s="22">
        <f t="shared" si="66"/>
        <v>0.12486626084942598</v>
      </c>
      <c r="DX22" s="22">
        <f t="shared" si="67"/>
        <v>0.1079786520001649</v>
      </c>
      <c r="DY22" s="22">
        <f t="shared" si="68"/>
        <v>0.23284491284959088</v>
      </c>
      <c r="DZ22" s="22">
        <f t="shared" si="69"/>
        <v>0.18261293073622845</v>
      </c>
      <c r="EA22" s="22">
        <f t="shared" si="70"/>
        <v>0</v>
      </c>
      <c r="EB22" s="22">
        <f t="shared" si="71"/>
        <v>1.6276239897935914</v>
      </c>
      <c r="EC22" s="22">
        <f t="shared" si="72"/>
        <v>0.06127623365431869</v>
      </c>
      <c r="ED22" s="22">
        <f t="shared" si="73"/>
        <v>0.016800496987937247</v>
      </c>
      <c r="EE22" s="22">
        <f t="shared" si="74"/>
        <v>0</v>
      </c>
      <c r="EF22" s="22">
        <f t="shared" si="75"/>
        <v>0.013701166497572522</v>
      </c>
      <c r="EG22" s="15">
        <f t="shared" si="76"/>
        <v>4.009993469669814</v>
      </c>
      <c r="EH22" s="15">
        <f t="shared" si="77"/>
        <v>0.019986939339625812</v>
      </c>
      <c r="EI22" s="15">
        <f t="shared" si="78"/>
        <v>0.029905693598957228</v>
      </c>
      <c r="EJ22" s="15">
        <f t="shared" si="79"/>
        <v>0.016800496987937247</v>
      </c>
      <c r="EK22" s="15">
        <f t="shared" si="80"/>
        <v>0</v>
      </c>
      <c r="EL22" s="15">
        <f t="shared" si="81"/>
        <v>0.013701166497572522</v>
      </c>
      <c r="EM22" s="15">
        <f t="shared" si="82"/>
        <v>0.07747698851465513</v>
      </c>
      <c r="EN22" s="15">
        <f t="shared" si="83"/>
        <v>0.06127623365431869</v>
      </c>
      <c r="EO22" s="15">
        <f t="shared" si="84"/>
        <v>0.835741849180423</v>
      </c>
      <c r="EP22" s="15">
        <f t="shared" si="85"/>
        <v>0.7514339518621626</v>
      </c>
      <c r="EQ22" s="15">
        <f t="shared" si="86"/>
        <v>0.05509481481063605</v>
      </c>
      <c r="ER22" s="15">
        <f t="shared" si="87"/>
        <v>0.6563776322349211</v>
      </c>
      <c r="ES22" s="15">
        <f t="shared" si="88"/>
        <v>0.0629635483755727</v>
      </c>
      <c r="ET22" s="15">
        <f t="shared" si="89"/>
        <v>0.090839822988567</v>
      </c>
      <c r="EU22" s="15">
        <f t="shared" si="90"/>
        <v>0.6893929973283167</v>
      </c>
      <c r="EV22" s="15">
        <f t="shared" si="91"/>
        <v>1.0049967348349067</v>
      </c>
      <c r="EX22" s="1">
        <f t="shared" si="92"/>
        <v>1325</v>
      </c>
      <c r="EY22" s="1">
        <f t="shared" si="93"/>
        <v>15</v>
      </c>
      <c r="FA22" s="1">
        <f t="shared" si="94"/>
        <v>0.3355276674206762</v>
      </c>
      <c r="FB22" s="1">
        <f t="shared" si="95"/>
        <v>1346.2253357010425</v>
      </c>
      <c r="FD22" s="1">
        <f t="shared" si="96"/>
        <v>1109.1299915510276</v>
      </c>
      <c r="FE22" s="1">
        <f t="shared" si="97"/>
        <v>1007.2328242586124</v>
      </c>
      <c r="FF22" s="1">
        <f t="shared" si="98"/>
        <v>1419.0916089909276</v>
      </c>
      <c r="FG22" s="1">
        <f t="shared" si="99"/>
        <v>1261.7408067622544</v>
      </c>
      <c r="FH22" s="1">
        <f t="shared" si="100"/>
        <v>0.3756569234872196</v>
      </c>
      <c r="FI22" s="1">
        <f t="shared" si="101"/>
        <v>1485.5941053185093</v>
      </c>
      <c r="FJ22" s="1">
        <f t="shared" si="102"/>
        <v>1257.8453566291882</v>
      </c>
      <c r="FL22" s="1">
        <f t="shared" si="103"/>
        <v>1361.2656172222164</v>
      </c>
      <c r="FM22" s="1">
        <f t="shared" si="104"/>
        <v>990.7282546494972</v>
      </c>
      <c r="FO22" s="1">
        <f t="shared" si="105"/>
        <v>44.92778778048417</v>
      </c>
      <c r="FP22" s="1">
        <f t="shared" si="106"/>
        <v>34.457946637871316</v>
      </c>
      <c r="FR22" s="1">
        <f t="shared" si="107"/>
        <v>25.89565</v>
      </c>
      <c r="FS22" s="1">
        <f t="shared" si="108"/>
        <v>31.143099999999997</v>
      </c>
      <c r="FT22" s="1">
        <f t="shared" si="109"/>
        <v>2.3649999999999984</v>
      </c>
      <c r="FU22" s="1">
        <f t="shared" si="110"/>
        <v>938.2833423850647</v>
      </c>
      <c r="FV22" s="1">
        <f t="shared" si="111"/>
        <v>1320.9290802119858</v>
      </c>
      <c r="FX22" s="1">
        <f t="shared" si="112"/>
        <v>1198.3635969141988</v>
      </c>
      <c r="FY22" s="1">
        <f t="shared" si="113"/>
        <v>1425.5276017017081</v>
      </c>
      <c r="GA22" s="1">
        <f t="shared" si="114"/>
        <v>1338.2279720423708</v>
      </c>
      <c r="GC22" s="1">
        <f t="shared" si="128"/>
        <v>14.906103538311516</v>
      </c>
      <c r="GD22" s="1">
        <f t="shared" si="115"/>
        <v>-0.09389646168848387</v>
      </c>
      <c r="GE22" s="2">
        <f t="shared" si="116"/>
        <v>15</v>
      </c>
    </row>
    <row r="23" spans="1:187" ht="12.75">
      <c r="A23" s="1" t="s">
        <v>27</v>
      </c>
      <c r="B23" s="1" t="s">
        <v>28</v>
      </c>
      <c r="C23" s="23">
        <v>1</v>
      </c>
      <c r="D23" s="2">
        <v>1325</v>
      </c>
      <c r="F23" s="1">
        <v>1114</v>
      </c>
      <c r="G23" s="23">
        <v>52.5</v>
      </c>
      <c r="H23" s="23">
        <v>0</v>
      </c>
      <c r="I23" s="23">
        <v>5.19</v>
      </c>
      <c r="J23" s="23">
        <v>4.12</v>
      </c>
      <c r="K23" s="23">
        <v>0</v>
      </c>
      <c r="L23" s="23">
        <v>21.28</v>
      </c>
      <c r="M23" s="23">
        <v>15.45</v>
      </c>
      <c r="N23" s="23">
        <v>0</v>
      </c>
      <c r="O23" s="23">
        <v>0</v>
      </c>
      <c r="P23" s="23">
        <v>1.45</v>
      </c>
      <c r="R23" s="23">
        <v>55.2</v>
      </c>
      <c r="S23" s="23">
        <v>0</v>
      </c>
      <c r="T23" s="23">
        <v>3.3</v>
      </c>
      <c r="U23" s="23">
        <v>5.6</v>
      </c>
      <c r="V23" s="23">
        <v>0</v>
      </c>
      <c r="W23" s="23">
        <v>32.7</v>
      </c>
      <c r="X23" s="23">
        <v>2</v>
      </c>
      <c r="Y23" s="23">
        <v>0</v>
      </c>
      <c r="Z23" s="23">
        <v>0</v>
      </c>
      <c r="AA23" s="23">
        <v>1.3</v>
      </c>
      <c r="AC23" s="50">
        <f t="shared" si="117"/>
        <v>1317.3412738586348</v>
      </c>
      <c r="AD23" s="50">
        <f t="shared" si="118"/>
        <v>8.915744263980015</v>
      </c>
      <c r="AF23" s="27">
        <f t="shared" si="119"/>
        <v>1319.219502905591</v>
      </c>
      <c r="AG23" s="27"/>
      <c r="AH23" s="27">
        <f t="shared" si="120"/>
        <v>1317.3412726396089</v>
      </c>
      <c r="AI23" s="27">
        <f t="shared" si="121"/>
        <v>1323.2809437127282</v>
      </c>
      <c r="AJ23" s="27">
        <f t="shared" si="122"/>
        <v>9.698615518121455</v>
      </c>
      <c r="AK23" s="27">
        <f t="shared" si="123"/>
        <v>8.915744263980015</v>
      </c>
      <c r="AL23" s="29">
        <f t="shared" si="124"/>
        <v>1259.5899112758148</v>
      </c>
      <c r="AM23" s="42">
        <f t="shared" si="125"/>
        <v>1.1305383995703548</v>
      </c>
      <c r="AN23" s="44"/>
      <c r="AO23" s="1">
        <f t="shared" si="126"/>
        <v>0.18204089426046283</v>
      </c>
      <c r="AQ23" s="1">
        <f t="shared" si="0"/>
        <v>0.873772349848463</v>
      </c>
      <c r="AR23" s="1">
        <f t="shared" si="1"/>
        <v>0</v>
      </c>
      <c r="AS23" s="1">
        <f t="shared" si="2"/>
        <v>0.05090181540000589</v>
      </c>
      <c r="AT23" s="1">
        <f t="shared" si="3"/>
        <v>0.057344557277748086</v>
      </c>
      <c r="AU23" s="1">
        <f t="shared" si="4"/>
        <v>0</v>
      </c>
      <c r="AV23" s="1">
        <f t="shared" si="5"/>
        <v>0.5279820565496571</v>
      </c>
      <c r="AW23" s="1">
        <f t="shared" si="6"/>
        <v>0.2755120601169098</v>
      </c>
      <c r="AX23" s="1">
        <f t="shared" si="7"/>
        <v>0</v>
      </c>
      <c r="AY23" s="1">
        <f t="shared" si="8"/>
        <v>0</v>
      </c>
      <c r="AZ23" s="1">
        <f t="shared" si="9"/>
        <v>0.009539586652999837</v>
      </c>
      <c r="BA23" s="1">
        <f aca="true" t="shared" si="129" ref="BA23:BA29">SUM(AQ23:AZ23)</f>
        <v>1.795052425845784</v>
      </c>
      <c r="BC23" s="15">
        <f aca="true" t="shared" si="130" ref="BC23:BD29">AQ23*2</f>
        <v>1.747544699696926</v>
      </c>
      <c r="BD23" s="15">
        <f t="shared" si="130"/>
        <v>0</v>
      </c>
      <c r="BE23" s="15">
        <f aca="true" t="shared" si="131" ref="BE23:BE29">AS23*3</f>
        <v>0.1527054462000177</v>
      </c>
      <c r="BF23" s="15">
        <f aca="true" t="shared" si="132" ref="BF23:BH29">AT23</f>
        <v>0.057344557277748086</v>
      </c>
      <c r="BG23" s="15">
        <f t="shared" si="132"/>
        <v>0</v>
      </c>
      <c r="BH23" s="15">
        <f t="shared" si="132"/>
        <v>0.5279820565496571</v>
      </c>
      <c r="BI23" s="15">
        <f aca="true" t="shared" si="133" ref="BI23:BK29">AW23</f>
        <v>0.2755120601169098</v>
      </c>
      <c r="BJ23" s="15">
        <f t="shared" si="133"/>
        <v>0</v>
      </c>
      <c r="BK23" s="15">
        <f t="shared" si="133"/>
        <v>0</v>
      </c>
      <c r="BL23" s="15">
        <f aca="true" t="shared" si="134" ref="BL23:BL29">AZ23*3</f>
        <v>0.028618759958999512</v>
      </c>
      <c r="BM23" s="15">
        <f aca="true" t="shared" si="135" ref="BM23:BM29">SUM(BC23:BL23)</f>
        <v>2.789707579800258</v>
      </c>
      <c r="BN23" s="15">
        <f aca="true" t="shared" si="136" ref="BN23:BN29">6/BM23</f>
        <v>2.1507630561155797</v>
      </c>
      <c r="BP23" s="22">
        <f t="shared" si="17"/>
        <v>1.8792772895093717</v>
      </c>
      <c r="BQ23" s="22">
        <f t="shared" si="18"/>
        <v>0</v>
      </c>
      <c r="BR23" s="22">
        <f aca="true" t="shared" si="137" ref="BR23:BR29">2-BP23</f>
        <v>0.12072271049062833</v>
      </c>
      <c r="BS23" s="22">
        <f aca="true" t="shared" si="138" ref="BS23:BS29">IF(BT23-BR23&lt;0,0,BT23-BR23)</f>
        <v>0.09823277761246718</v>
      </c>
      <c r="BT23" s="22">
        <f t="shared" si="21"/>
        <v>0.2189554881030955</v>
      </c>
      <c r="BU23" s="22">
        <f t="shared" si="22"/>
        <v>0.12333455526228439</v>
      </c>
      <c r="BV23" s="22">
        <f t="shared" si="23"/>
        <v>0</v>
      </c>
      <c r="BW23" s="22">
        <f t="shared" si="24"/>
        <v>1.1355643015189294</v>
      </c>
      <c r="BX23" s="22">
        <f t="shared" si="25"/>
        <v>0.5925611604137443</v>
      </c>
      <c r="BY23" s="22">
        <f t="shared" si="26"/>
        <v>0</v>
      </c>
      <c r="BZ23" s="22">
        <f t="shared" si="27"/>
        <v>0</v>
      </c>
      <c r="CA23" s="22">
        <f t="shared" si="28"/>
        <v>0.04103478108777065</v>
      </c>
      <c r="CB23" s="15">
        <f aca="true" t="shared" si="139" ref="CB23:CB29">BP23+BQ23+BT23+BU23+BV23+BW23+BX23+BY23+BZ23+CA23</f>
        <v>3.990727575895196</v>
      </c>
      <c r="CC23" s="15">
        <f aca="true" t="shared" si="140" ref="CC23:CC29">IF(BY23+BR23-BS23-2*BQ23-CA23&gt;0,BY23+BR23-BS23-2*BQ23-CA23,0)</f>
        <v>0</v>
      </c>
      <c r="CD23" s="15">
        <f aca="true" t="shared" si="141" ref="CD23:CD29">12-48/CB23</f>
        <v>-0.027881905527637585</v>
      </c>
      <c r="CE23" s="15">
        <f aca="true" t="shared" si="142" ref="CE23:CE29">IF(BY23&lt;BS23,BY23,BS23)</f>
        <v>0</v>
      </c>
      <c r="CF23" s="15">
        <f aca="true" t="shared" si="143" ref="CF23:CF29">IF(BS23&gt;BY23,BS23-BY23,0)</f>
        <v>0.09823277761246718</v>
      </c>
      <c r="CG23" s="15">
        <f aca="true" t="shared" si="144" ref="CG23:CG29">IF(BR23&gt;CF23,(BR23-CF23)/2,0)</f>
        <v>0.011244966439080573</v>
      </c>
      <c r="CH23" s="15">
        <f aca="true" t="shared" si="145" ref="CH23:CH29">CA23/2</f>
        <v>0.020517390543885326</v>
      </c>
      <c r="CI23" s="15">
        <f aca="true" t="shared" si="146" ref="CI23:CI29">IF(BX23-CG23-CF23-CH23&gt;0,BX23-CG23-CF23-CH23,0)</f>
        <v>0.4625660258183112</v>
      </c>
      <c r="CJ23" s="15">
        <f aca="true" t="shared" si="147" ref="CJ23:CJ29">((BU23+BW23)-CI23)/2</f>
        <v>0.3981664154814513</v>
      </c>
      <c r="CK23" s="15">
        <f aca="true" t="shared" si="148" ref="CK23:CK29">CJ23*(BW23/(BW23+BV23+BU23))</f>
        <v>0.35915797766354546</v>
      </c>
      <c r="CL23" s="15">
        <f aca="true" t="shared" si="149" ref="CL23:CL29">CN23*(BW23/(BW23+BV23+BU23))</f>
        <v>0.4172483461918385</v>
      </c>
      <c r="CM23" s="15">
        <f aca="true" t="shared" si="150" ref="CM23:CM29">SUM(CE23:CJ23)</f>
        <v>0.9907275758951957</v>
      </c>
      <c r="CN23" s="15">
        <f aca="true" t="shared" si="151" ref="CN23:CN29">BX23-CF23-CG23-CH23</f>
        <v>0.4625660258183112</v>
      </c>
      <c r="CO23" s="15"/>
      <c r="CP23" s="1">
        <f aca="true" t="shared" si="152" ref="CP23:CP29">BW23/(BW23+CQ23)</f>
        <v>0.9020298139140188</v>
      </c>
      <c r="CQ23" s="15">
        <f aca="true" t="shared" si="153" ref="CQ23:CQ29">BU23-CC23</f>
        <v>0.12333455526228439</v>
      </c>
      <c r="CR23" s="15">
        <f aca="true" t="shared" si="154" ref="CR23:CR29">(0.5*BW23/(BX23+0.5*BW23+0.5*(BU23-CC23)+BV23+BY23))*((0.5*BW23)/(CC23+0.5*(BU23-CC23)+BS23+BQ23+CA23+0.5*BW23))</f>
        <v>0.3431800426312487</v>
      </c>
      <c r="CS23" s="22">
        <f aca="true" t="shared" si="155" ref="CS23:CS29">BX23/(BX23+0.5*BW23+0.5*(BU23-CC23)+BV23+BY23)</f>
        <v>0.4849067314494569</v>
      </c>
      <c r="CT23" s="22">
        <f aca="true" t="shared" si="156" ref="CT23:CT29">(BW23/(BX23+BW23+BU23-CC23+BV23+BY23))*(BW23/(BU23+BT23+BQ23+CA23+BW23))</f>
        <v>0.45854615041361363</v>
      </c>
      <c r="CU23" s="22">
        <f t="shared" si="127"/>
        <v>0.35447377279483333</v>
      </c>
      <c r="CV23" s="1">
        <f t="shared" si="47"/>
        <v>0.9187092135549554</v>
      </c>
      <c r="CW23" s="1">
        <f t="shared" si="48"/>
        <v>0</v>
      </c>
      <c r="CX23" s="1">
        <f t="shared" si="49"/>
        <v>0.032365316150292756</v>
      </c>
      <c r="CY23" s="1">
        <f t="shared" si="50"/>
        <v>0.0779440584357741</v>
      </c>
      <c r="CZ23" s="1">
        <f t="shared" si="51"/>
        <v>0</v>
      </c>
      <c r="DA23" s="1">
        <f t="shared" si="52"/>
        <v>0.811325810581475</v>
      </c>
      <c r="DB23" s="1">
        <f t="shared" si="53"/>
        <v>0.03566499160089448</v>
      </c>
      <c r="DC23" s="1">
        <f t="shared" si="54"/>
        <v>0</v>
      </c>
      <c r="DD23" s="1">
        <f t="shared" si="55"/>
        <v>0</v>
      </c>
      <c r="DE23" s="1">
        <f t="shared" si="56"/>
        <v>0.0085527328613102</v>
      </c>
      <c r="DF23" s="1">
        <f aca="true" t="shared" si="157" ref="DF23:DF29">SUM(CV23:DE23)</f>
        <v>1.8845621231847018</v>
      </c>
      <c r="DH23" s="15">
        <f aca="true" t="shared" si="158" ref="DH23:DI29">CV23*2</f>
        <v>1.8374184271099108</v>
      </c>
      <c r="DI23" s="15">
        <f t="shared" si="158"/>
        <v>0</v>
      </c>
      <c r="DJ23" s="15">
        <f aca="true" t="shared" si="159" ref="DJ23:DJ29">CX23*3</f>
        <v>0.09709594845087827</v>
      </c>
      <c r="DK23" s="15">
        <f aca="true" t="shared" si="160" ref="DK23:DM29">CY23</f>
        <v>0.0779440584357741</v>
      </c>
      <c r="DL23" s="15">
        <f t="shared" si="160"/>
        <v>0</v>
      </c>
      <c r="DM23" s="15">
        <f t="shared" si="160"/>
        <v>0.811325810581475</v>
      </c>
      <c r="DN23" s="15">
        <f aca="true" t="shared" si="161" ref="DN23:DP29">DB23</f>
        <v>0.03566499160089448</v>
      </c>
      <c r="DO23" s="15">
        <f t="shared" si="161"/>
        <v>0</v>
      </c>
      <c r="DP23" s="15">
        <f t="shared" si="161"/>
        <v>0</v>
      </c>
      <c r="DQ23" s="15">
        <f aca="true" t="shared" si="162" ref="DQ23:DQ29">DE23*3</f>
        <v>0.025658198583930602</v>
      </c>
      <c r="DR23" s="15">
        <f aca="true" t="shared" si="163" ref="DR23:DR29">SUM(DH23:DQ23)</f>
        <v>2.885107434762863</v>
      </c>
      <c r="DS23" s="15">
        <f aca="true" t="shared" si="164" ref="DS23:DS29">6/DR23</f>
        <v>2.0796452595510226</v>
      </c>
      <c r="DU23" s="22">
        <f t="shared" si="64"/>
        <v>1.9105892608754111</v>
      </c>
      <c r="DV23" s="22">
        <f t="shared" si="65"/>
        <v>0</v>
      </c>
      <c r="DW23" s="22">
        <f aca="true" t="shared" si="165" ref="DW23:DW29">2-DU23</f>
        <v>0.08941073912458886</v>
      </c>
      <c r="DX23" s="22">
        <f aca="true" t="shared" si="166" ref="DX23:DX29">IF(DY23-DW23&lt;0,0,DY23-DW23)</f>
        <v>0.0452060134870641</v>
      </c>
      <c r="DY23" s="22">
        <f t="shared" si="68"/>
        <v>0.13461675261165296</v>
      </c>
      <c r="DZ23" s="22">
        <f t="shared" si="69"/>
        <v>0.16209599163612548</v>
      </c>
      <c r="EA23" s="22">
        <f t="shared" si="70"/>
        <v>0</v>
      </c>
      <c r="EB23" s="22">
        <f t="shared" si="71"/>
        <v>1.6872698759271554</v>
      </c>
      <c r="EC23" s="22">
        <f t="shared" si="72"/>
        <v>0.07417053071472725</v>
      </c>
      <c r="ED23" s="22">
        <f t="shared" si="73"/>
        <v>0</v>
      </c>
      <c r="EE23" s="22">
        <f t="shared" si="74"/>
        <v>0</v>
      </c>
      <c r="EF23" s="22">
        <f t="shared" si="75"/>
        <v>0.03557330070246002</v>
      </c>
      <c r="EG23" s="15">
        <f aca="true" t="shared" si="167" ref="EG23:EG29">DU23+DV23+DY23+DZ23+EA23+EB23+EC23+ED23+EE23+EF23</f>
        <v>4.004315712467532</v>
      </c>
      <c r="EH23" s="15">
        <f aca="true" t="shared" si="168" ref="EH23:EH29">IF(ED23+DW23-DX23-2*DV23-EF23&gt;0,ED23+DW23-DX23-2*DV23-EF23,0)</f>
        <v>0.008631424935064733</v>
      </c>
      <c r="EI23" s="15">
        <f aca="true" t="shared" si="169" ref="EI23:EI29">12-48/EG23</f>
        <v>0.012933183427355388</v>
      </c>
      <c r="EJ23" s="15">
        <f aca="true" t="shared" si="170" ref="EJ23:EJ29">ED23</f>
        <v>0</v>
      </c>
      <c r="EK23" s="15">
        <f aca="true" t="shared" si="171" ref="EK23:EK29">DV23</f>
        <v>0</v>
      </c>
      <c r="EL23" s="15">
        <f aca="true" t="shared" si="172" ref="EL23:EL29">EF23</f>
        <v>0.03557330070246002</v>
      </c>
      <c r="EM23" s="15">
        <f aca="true" t="shared" si="173" ref="EM23:EM29">(DX23-EJ23-EL23)</f>
        <v>0.009632712784604078</v>
      </c>
      <c r="EN23" s="15">
        <f aca="true" t="shared" si="174" ref="EN23:EN29">EC23</f>
        <v>0.07417053071472725</v>
      </c>
      <c r="EO23" s="15">
        <f aca="true" t="shared" si="175" ref="EO23:EO29">((DZ23+EB23+EA23)-EK23-EM23-EN23)/2</f>
        <v>0.8827813120319747</v>
      </c>
      <c r="EP23" s="15">
        <f aca="true" t="shared" si="176" ref="EP23:EP29">EO23*(EB23/(EB23+DZ23+EA23))</f>
        <v>0.8054059723647596</v>
      </c>
      <c r="EQ23" s="15">
        <f aca="true" t="shared" si="177" ref="EQ23:EQ29">EN23*(EB23/(EB23+DZ23+EA23))</f>
        <v>0.06766952086197023</v>
      </c>
      <c r="ER23" s="15">
        <f aca="true" t="shared" si="178" ref="ER23:ER29">(0.5*EB23/(EC23+0.5*EB23+0.5*(DZ23-EH23)+EA23+ED23))*(0.5*EB23/(EH23+0.5*(DZ23-EH23)+DX23+DV23+EF23+0.5*EB23))</f>
        <v>0.7086992178758251</v>
      </c>
      <c r="ES23" s="15">
        <f aca="true" t="shared" si="179" ref="ES23:ES29">EC23/(EC23+0.5*EB23+0.5*(DZ23-EH23)+EA23+ED23)</f>
        <v>0.07457789366308215</v>
      </c>
      <c r="ET23" s="15">
        <f aca="true" t="shared" si="180" ref="ET23:ET29">(DZ23-EH23)/((DZ23-EH23)+EB23)</f>
        <v>0.08337137783000503</v>
      </c>
      <c r="EU23" s="15">
        <f aca="true" t="shared" si="181" ref="EU23:EU29">(EB23/(EC23+EB23-EH23+DZ23+EA23+ED23))*(EB23/(EH23+DZ23-EH23+DY23+DV23+EF23+EB23))</f>
        <v>0.7361494557929565</v>
      </c>
      <c r="EV23" s="15">
        <f aca="true" t="shared" si="182" ref="EV23:EV29">SUM(EJ23:EO23)</f>
        <v>1.002157856233766</v>
      </c>
      <c r="EX23" s="1">
        <f t="shared" si="92"/>
        <v>1325</v>
      </c>
      <c r="EY23" s="1">
        <f t="shared" si="93"/>
        <v>10</v>
      </c>
      <c r="FA23" s="1">
        <f aca="true" t="shared" si="183" ref="FA23:FA29">((1-BT23/2)*(1-BX23))/((1-DY23/2)*(1-EC23))</f>
        <v>0.42018266118736636</v>
      </c>
      <c r="FB23" s="1">
        <f aca="true" t="shared" si="184" ref="FB23:FB29">1616.67+287.935*LN(FA23)+2.933*EY23</f>
        <v>1396.3414219317858</v>
      </c>
      <c r="FD23" s="1">
        <f aca="true" t="shared" si="185" ref="FD23:FD29">(-7-EY23*0.06188+34*(EN23^2)-(21.905-EY23*0.05229)*CN23^2)/(0.0083143*LN(CJ23/EO23)+0.004431*CN23^2-0.00397)</f>
        <v>1245.286642701779</v>
      </c>
      <c r="FE23" s="1">
        <f aca="true" t="shared" si="186" ref="FE23:FE29">(-7-EY23*0.06188+34*(EQ23^2)-(21.905-EY23*0.05229)*CL23^2)/(0.0083143*LN(CK23/EP23)+0.004431*CL23^2-0.00397)</f>
        <v>1128.373256933639</v>
      </c>
      <c r="FF23" s="1">
        <f aca="true" t="shared" si="187" ref="FF23:FF29">(12.909+EY23*0.1633+34*EO23^2-(21.905-EY23*0.05229)*CJ23^2)/(0.0083143*LN(CN23/EN23)+0.004431*CJ23^2+0.0085)</f>
        <v>1541.6327288258806</v>
      </c>
      <c r="FG23" s="1">
        <f aca="true" t="shared" si="188" ref="FG23:FG29">(12.909+EY23*0.1633+34*EP23^2-(21.905-EY23*0.05229)*CK23^2)/(0.0083143*LN(CL23/EQ23)+0.004431*CK23^2+0.0085)</f>
        <v>1398.5523597980398</v>
      </c>
      <c r="FH23" s="1">
        <f aca="true" t="shared" si="189" ref="FH23:FH29">CR23/ER23</f>
        <v>0.4842393415641938</v>
      </c>
      <c r="FI23" s="1">
        <f aca="true" t="shared" si="190" ref="FI23:FI29">-273.15+(4900/(1.807-LN(FH23)))</f>
        <v>1661.9445688233286</v>
      </c>
      <c r="FJ23" s="1">
        <f aca="true" t="shared" si="191" ref="FJ23:FJ29">-273.15+(7045/(2.47-LN(ES23/CS23)))</f>
        <v>1349.332168840092</v>
      </c>
      <c r="FL23" s="1">
        <f aca="true" t="shared" si="192" ref="FL23:FL29">-273.15+(-10202/(LN(CR23/ER23)-7.65*ET23+3.88*ET23^2-4.6))</f>
        <v>1445.5163543932526</v>
      </c>
      <c r="FM23" s="1">
        <f aca="true" t="shared" si="193" ref="FM23:FM29">-273.15+(3666/(0.8808-LN(DX23/(0.5*EB23))))</f>
        <v>689.7396793116296</v>
      </c>
      <c r="FO23" s="1">
        <f aca="true" t="shared" si="194" ref="FO23:FO29">10*(1.279/(EC23/(1-BX23)+0.006)-2.29)</f>
        <v>45.11711962869134</v>
      </c>
      <c r="FP23" s="1">
        <f aca="true" t="shared" si="195" ref="FP23:FP29">10*(1.073/(EC23/(1-BX23)+0.028)-1.65)</f>
        <v>34.58529002306656</v>
      </c>
      <c r="FR23" s="1">
        <f aca="true" t="shared" si="196" ref="FR23:FR29">26.23-0.02229*EY23</f>
        <v>26.0071</v>
      </c>
      <c r="FS23" s="1">
        <f aca="true" t="shared" si="197" ref="FS23:FS29">32.44-0.08646*EY23</f>
        <v>31.5754</v>
      </c>
      <c r="FT23" s="1">
        <f aca="true" t="shared" si="198" ref="FT23:FT29">28.6-1.749*EY23</f>
        <v>11.11</v>
      </c>
      <c r="FU23" s="1">
        <f aca="true" t="shared" si="199" ref="FU23:FU29">-273.15+((4.261+0.059*EY23+FR23*CS23^2*(1-2*CR23)+2*FS23*CR23*CS23^2-FT23*ES23^2)/(0.002721-0.0083143*LN(CR23/ER23)))</f>
        <v>1075.7162965413572</v>
      </c>
      <c r="FV23" s="1">
        <f aca="true" t="shared" si="200" ref="FV23:FV29">-273.15+(-35.92-1.753*EY23+FS23*CR23^2*(1-2*CS23)+2*FR23*CS23*CR23^2-FT23*ER23^2)/(-0.02097-0.0083143*LN(CS23/ES23))</f>
        <v>1258.1723993619935</v>
      </c>
      <c r="FX23" s="1">
        <f t="shared" si="112"/>
        <v>1231.8939894827868</v>
      </c>
      <c r="FY23" s="1" t="e">
        <f t="shared" si="113"/>
        <v>#DIV/0!</v>
      </c>
      <c r="GA23" s="1">
        <f t="shared" si="114"/>
        <v>1440.5945879873552</v>
      </c>
      <c r="GC23" s="1">
        <f t="shared" si="128"/>
        <v>9.698615518121455</v>
      </c>
      <c r="GD23" s="1">
        <f t="shared" si="115"/>
        <v>-0.3013844818785447</v>
      </c>
      <c r="GE23" s="2">
        <f t="shared" si="116"/>
        <v>10</v>
      </c>
    </row>
    <row r="24" spans="1:187" ht="12.75">
      <c r="A24" s="1" t="s">
        <v>27</v>
      </c>
      <c r="B24" s="1" t="s">
        <v>29</v>
      </c>
      <c r="C24" s="23">
        <v>1</v>
      </c>
      <c r="D24" s="2">
        <v>1321</v>
      </c>
      <c r="F24" s="1">
        <v>1113</v>
      </c>
      <c r="G24" s="23">
        <v>51.8</v>
      </c>
      <c r="H24" s="23">
        <v>0.17</v>
      </c>
      <c r="I24" s="23">
        <v>5.1</v>
      </c>
      <c r="J24" s="23">
        <v>4.6</v>
      </c>
      <c r="K24" s="23">
        <v>0.19</v>
      </c>
      <c r="L24" s="23">
        <v>21.5</v>
      </c>
      <c r="M24" s="23">
        <v>14.9</v>
      </c>
      <c r="N24" s="23">
        <v>0.21</v>
      </c>
      <c r="O24" s="23">
        <v>0</v>
      </c>
      <c r="P24" s="23">
        <v>1.58</v>
      </c>
      <c r="R24" s="23">
        <v>54.1</v>
      </c>
      <c r="S24" s="23">
        <v>0.09</v>
      </c>
      <c r="T24" s="23">
        <v>4.2</v>
      </c>
      <c r="U24" s="23">
        <v>5.9</v>
      </c>
      <c r="V24" s="23">
        <v>0.21</v>
      </c>
      <c r="W24" s="23">
        <v>31.3</v>
      </c>
      <c r="X24" s="23">
        <v>2.9</v>
      </c>
      <c r="Y24" s="23">
        <v>0.04</v>
      </c>
      <c r="Z24" s="23">
        <v>0</v>
      </c>
      <c r="AA24" s="23">
        <v>1.32</v>
      </c>
      <c r="AC24" s="50">
        <f t="shared" si="117"/>
        <v>1349.5307120504363</v>
      </c>
      <c r="AD24" s="50">
        <f t="shared" si="118"/>
        <v>8.625977906309666</v>
      </c>
      <c r="AF24" s="27">
        <f t="shared" si="119"/>
        <v>1319.8934783116706</v>
      </c>
      <c r="AG24" s="27"/>
      <c r="AH24" s="27">
        <f t="shared" si="120"/>
        <v>1349.5307043199068</v>
      </c>
      <c r="AI24" s="27">
        <f t="shared" si="121"/>
        <v>1313.5962439916134</v>
      </c>
      <c r="AJ24" s="27">
        <f t="shared" si="122"/>
        <v>10.843843049195598</v>
      </c>
      <c r="AK24" s="27">
        <f t="shared" si="123"/>
        <v>8.625977906309666</v>
      </c>
      <c r="AL24" s="29">
        <f t="shared" si="124"/>
        <v>1254.4613063486338</v>
      </c>
      <c r="AM24" s="42">
        <f t="shared" si="125"/>
        <v>1.13504138746551</v>
      </c>
      <c r="AN24" s="44"/>
      <c r="AO24" s="1">
        <f t="shared" si="126"/>
        <v>0.2538830839712019</v>
      </c>
      <c r="AQ24" s="1">
        <f t="shared" si="0"/>
        <v>0.8621220518504834</v>
      </c>
      <c r="AR24" s="1">
        <f t="shared" si="1"/>
        <v>0.0021282242597535266</v>
      </c>
      <c r="AS24" s="1">
        <f t="shared" si="2"/>
        <v>0.05001912495954335</v>
      </c>
      <c r="AT24" s="1">
        <f t="shared" si="3"/>
        <v>0.064025476572243</v>
      </c>
      <c r="AU24" s="1">
        <f t="shared" si="4"/>
        <v>0.0026784140969162997</v>
      </c>
      <c r="AV24" s="1">
        <f t="shared" si="5"/>
        <v>0.5334405176606029</v>
      </c>
      <c r="AW24" s="1">
        <f t="shared" si="6"/>
        <v>0.2657041874266639</v>
      </c>
      <c r="AX24" s="1">
        <f t="shared" si="7"/>
        <v>0.003388249872133903</v>
      </c>
      <c r="AY24" s="1">
        <f t="shared" si="8"/>
        <v>0</v>
      </c>
      <c r="AZ24" s="1">
        <f t="shared" si="9"/>
        <v>0.01039485993913086</v>
      </c>
      <c r="BA24" s="1">
        <f t="shared" si="129"/>
        <v>1.7939011066374708</v>
      </c>
      <c r="BC24" s="15">
        <f t="shared" si="130"/>
        <v>1.7242441037009668</v>
      </c>
      <c r="BD24" s="15">
        <f t="shared" si="130"/>
        <v>0.004256448519507053</v>
      </c>
      <c r="BE24" s="15">
        <f t="shared" si="131"/>
        <v>0.15005737487863005</v>
      </c>
      <c r="BF24" s="15">
        <f t="shared" si="132"/>
        <v>0.064025476572243</v>
      </c>
      <c r="BG24" s="15">
        <f t="shared" si="132"/>
        <v>0.0026784140969162997</v>
      </c>
      <c r="BH24" s="15">
        <f t="shared" si="132"/>
        <v>0.5334405176606029</v>
      </c>
      <c r="BI24" s="15">
        <f t="shared" si="133"/>
        <v>0.2657041874266639</v>
      </c>
      <c r="BJ24" s="15">
        <f t="shared" si="133"/>
        <v>0.003388249872133903</v>
      </c>
      <c r="BK24" s="15">
        <f t="shared" si="133"/>
        <v>0</v>
      </c>
      <c r="BL24" s="15">
        <f t="shared" si="134"/>
        <v>0.031184579817392578</v>
      </c>
      <c r="BM24" s="15">
        <f t="shared" si="135"/>
        <v>2.7789793525450563</v>
      </c>
      <c r="BN24" s="15">
        <f t="shared" si="136"/>
        <v>2.1590660594527464</v>
      </c>
      <c r="BP24" s="22">
        <f t="shared" si="17"/>
        <v>1.8613784612561395</v>
      </c>
      <c r="BQ24" s="22">
        <f t="shared" si="18"/>
        <v>0.004594976766137785</v>
      </c>
      <c r="BR24" s="22">
        <f t="shared" si="137"/>
        <v>0.13862153874386052</v>
      </c>
      <c r="BS24" s="22">
        <f t="shared" si="138"/>
        <v>0.07736765130349105</v>
      </c>
      <c r="BT24" s="22">
        <f t="shared" si="21"/>
        <v>0.21598919004735156</v>
      </c>
      <c r="BU24" s="22">
        <f t="shared" si="22"/>
        <v>0.13823523340741684</v>
      </c>
      <c r="BV24" s="22">
        <f t="shared" si="23"/>
        <v>0.005782872969811762</v>
      </c>
      <c r="BW24" s="22">
        <f t="shared" si="24"/>
        <v>1.151733316417911</v>
      </c>
      <c r="BX24" s="22">
        <f t="shared" si="25"/>
        <v>0.5736728929273812</v>
      </c>
      <c r="BY24" s="22">
        <f t="shared" si="26"/>
        <v>0.014630910599738837</v>
      </c>
      <c r="BZ24" s="22">
        <f t="shared" si="27"/>
        <v>0</v>
      </c>
      <c r="CA24" s="22">
        <f t="shared" si="28"/>
        <v>0.04488637857468496</v>
      </c>
      <c r="CB24" s="15">
        <f t="shared" si="139"/>
        <v>4.010904232966573</v>
      </c>
      <c r="CC24" s="15">
        <f t="shared" si="140"/>
        <v>0.02180846593314778</v>
      </c>
      <c r="CD24" s="15">
        <f t="shared" si="141"/>
        <v>0.03262376461731087</v>
      </c>
      <c r="CE24" s="15">
        <f t="shared" si="142"/>
        <v>0.014630910599738837</v>
      </c>
      <c r="CF24" s="15">
        <f t="shared" si="143"/>
        <v>0.06273674070375221</v>
      </c>
      <c r="CG24" s="15">
        <f t="shared" si="144"/>
        <v>0.037942399020054154</v>
      </c>
      <c r="CH24" s="15">
        <f t="shared" si="145"/>
        <v>0.02244318928734248</v>
      </c>
      <c r="CI24" s="15">
        <f t="shared" si="146"/>
        <v>0.4505505639162324</v>
      </c>
      <c r="CJ24" s="15">
        <f t="shared" si="147"/>
        <v>0.4197089929545478</v>
      </c>
      <c r="CK24" s="15">
        <f t="shared" si="148"/>
        <v>0.37305984919793383</v>
      </c>
      <c r="CL24" s="15">
        <f t="shared" si="149"/>
        <v>0.4004734905664414</v>
      </c>
      <c r="CM24" s="15">
        <f t="shared" si="150"/>
        <v>1.0080127964816679</v>
      </c>
      <c r="CN24" s="15">
        <f t="shared" si="151"/>
        <v>0.4505505639162324</v>
      </c>
      <c r="CO24" s="15"/>
      <c r="CP24" s="1">
        <f t="shared" si="152"/>
        <v>0.9081923733816496</v>
      </c>
      <c r="CQ24" s="15">
        <f t="shared" si="153"/>
        <v>0.11642676747426906</v>
      </c>
      <c r="CR24" s="15">
        <f t="shared" si="154"/>
        <v>0.34496131539475233</v>
      </c>
      <c r="CS24" s="22">
        <f t="shared" si="155"/>
        <v>0.46709692121818835</v>
      </c>
      <c r="CT24" s="22">
        <f t="shared" si="156"/>
        <v>0.4579453166550971</v>
      </c>
      <c r="CU24" s="22">
        <f t="shared" si="127"/>
        <v>0.35498371167326026</v>
      </c>
      <c r="CV24" s="1">
        <f t="shared" si="47"/>
        <v>0.9004016024152732</v>
      </c>
      <c r="CW24" s="1">
        <f t="shared" si="48"/>
        <v>0.0011267069610459847</v>
      </c>
      <c r="CX24" s="1">
        <f t="shared" si="49"/>
        <v>0.04119222055491806</v>
      </c>
      <c r="CY24" s="1">
        <f t="shared" si="50"/>
        <v>0.08211963299483342</v>
      </c>
      <c r="CZ24" s="1">
        <f t="shared" si="51"/>
        <v>0.002960352422907489</v>
      </c>
      <c r="DA24" s="1">
        <f t="shared" si="52"/>
        <v>0.7765901489663659</v>
      </c>
      <c r="DB24" s="1">
        <f t="shared" si="53"/>
        <v>0.05171423782129699</v>
      </c>
      <c r="DC24" s="1">
        <f t="shared" si="54"/>
        <v>0.0006453809280255055</v>
      </c>
      <c r="DD24" s="1">
        <f t="shared" si="55"/>
        <v>0</v>
      </c>
      <c r="DE24" s="1">
        <f t="shared" si="56"/>
        <v>0.008684313366868819</v>
      </c>
      <c r="DF24" s="1">
        <f t="shared" si="157"/>
        <v>1.8654345964315355</v>
      </c>
      <c r="DH24" s="15">
        <f t="shared" si="158"/>
        <v>1.8008032048305465</v>
      </c>
      <c r="DI24" s="15">
        <f t="shared" si="158"/>
        <v>0.0022534139220919693</v>
      </c>
      <c r="DJ24" s="15">
        <f t="shared" si="159"/>
        <v>0.12357666166475417</v>
      </c>
      <c r="DK24" s="15">
        <f t="shared" si="160"/>
        <v>0.08211963299483342</v>
      </c>
      <c r="DL24" s="15">
        <f t="shared" si="160"/>
        <v>0.002960352422907489</v>
      </c>
      <c r="DM24" s="15">
        <f t="shared" si="160"/>
        <v>0.7765901489663659</v>
      </c>
      <c r="DN24" s="15">
        <f t="shared" si="161"/>
        <v>0.05171423782129699</v>
      </c>
      <c r="DO24" s="15">
        <f t="shared" si="161"/>
        <v>0.0006453809280255055</v>
      </c>
      <c r="DP24" s="15">
        <f t="shared" si="161"/>
        <v>0</v>
      </c>
      <c r="DQ24" s="15">
        <f t="shared" si="162"/>
        <v>0.026052940100606457</v>
      </c>
      <c r="DR24" s="15">
        <f t="shared" si="163"/>
        <v>2.866715973651429</v>
      </c>
      <c r="DS24" s="15">
        <f t="shared" si="164"/>
        <v>2.0929872562009013</v>
      </c>
      <c r="DU24" s="22">
        <f t="shared" si="64"/>
        <v>1.8845290793180376</v>
      </c>
      <c r="DV24" s="22">
        <f t="shared" si="65"/>
        <v>0.0023581833109420913</v>
      </c>
      <c r="DW24" s="22">
        <f t="shared" si="165"/>
        <v>0.11547092068196241</v>
      </c>
      <c r="DX24" s="22">
        <f t="shared" si="166"/>
        <v>0.05695866467015823</v>
      </c>
      <c r="DY24" s="22">
        <f t="shared" si="68"/>
        <v>0.17242958535212063</v>
      </c>
      <c r="DZ24" s="22">
        <f t="shared" si="69"/>
        <v>0.1718753453420814</v>
      </c>
      <c r="EA24" s="22">
        <f t="shared" si="70"/>
        <v>0.006195979895008835</v>
      </c>
      <c r="EB24" s="22">
        <f t="shared" si="71"/>
        <v>1.6253932850777635</v>
      </c>
      <c r="EC24" s="22">
        <f t="shared" si="72"/>
        <v>0.10823724072411726</v>
      </c>
      <c r="ED24" s="22">
        <f t="shared" si="73"/>
        <v>0.002701548115504988</v>
      </c>
      <c r="EE24" s="22">
        <f t="shared" si="74"/>
        <v>0</v>
      </c>
      <c r="EF24" s="22">
        <f t="shared" si="75"/>
        <v>0.03635231441142316</v>
      </c>
      <c r="EG24" s="15">
        <f t="shared" si="167"/>
        <v>4.010072561547</v>
      </c>
      <c r="EH24" s="15">
        <f t="shared" si="168"/>
        <v>0.020145123094001828</v>
      </c>
      <c r="EI24" s="15">
        <f t="shared" si="169"/>
        <v>0.030141783398894617</v>
      </c>
      <c r="EJ24" s="15">
        <f t="shared" si="170"/>
        <v>0.002701548115504988</v>
      </c>
      <c r="EK24" s="15">
        <f t="shared" si="171"/>
        <v>0.0023581833109420913</v>
      </c>
      <c r="EL24" s="15">
        <f t="shared" si="172"/>
        <v>0.03635231441142316</v>
      </c>
      <c r="EM24" s="15">
        <f t="shared" si="173"/>
        <v>0.017904802143230078</v>
      </c>
      <c r="EN24" s="15">
        <f t="shared" si="174"/>
        <v>0.10823724072411726</v>
      </c>
      <c r="EO24" s="15">
        <f t="shared" si="175"/>
        <v>0.8374821920682822</v>
      </c>
      <c r="EP24" s="15">
        <f t="shared" si="176"/>
        <v>0.754790486918589</v>
      </c>
      <c r="EQ24" s="15">
        <f t="shared" si="177"/>
        <v>0.0975500618432494</v>
      </c>
      <c r="ER24" s="15">
        <f t="shared" si="178"/>
        <v>0.6538733533098017</v>
      </c>
      <c r="ES24" s="15">
        <f t="shared" si="179"/>
        <v>0.10762415730153135</v>
      </c>
      <c r="ET24" s="15">
        <f t="shared" si="180"/>
        <v>0.08537967205014255</v>
      </c>
      <c r="EU24" s="15">
        <f t="shared" si="181"/>
        <v>0.6944254552605831</v>
      </c>
      <c r="EV24" s="15">
        <f t="shared" si="182"/>
        <v>1.0050362807734998</v>
      </c>
      <c r="EX24" s="1">
        <f t="shared" si="92"/>
        <v>1321</v>
      </c>
      <c r="EY24" s="1">
        <f t="shared" si="93"/>
        <v>10</v>
      </c>
      <c r="FA24" s="1">
        <f t="shared" si="183"/>
        <v>0.46667762385729433</v>
      </c>
      <c r="FB24" s="1">
        <f t="shared" si="184"/>
        <v>1426.5599646602593</v>
      </c>
      <c r="FD24" s="1">
        <f t="shared" si="185"/>
        <v>1311.6042671459782</v>
      </c>
      <c r="FE24" s="1">
        <f t="shared" si="186"/>
        <v>1176.1302723533656</v>
      </c>
      <c r="FF24" s="1">
        <f t="shared" si="187"/>
        <v>1637.918283546427</v>
      </c>
      <c r="FG24" s="1">
        <f t="shared" si="188"/>
        <v>1483.1270238880563</v>
      </c>
      <c r="FH24" s="1">
        <f t="shared" si="189"/>
        <v>0.5275659478224853</v>
      </c>
      <c r="FI24" s="1">
        <f t="shared" si="190"/>
        <v>1729.7264560562626</v>
      </c>
      <c r="FJ24" s="1">
        <f t="shared" si="191"/>
        <v>1515.87840349011</v>
      </c>
      <c r="FL24" s="1">
        <f t="shared" si="192"/>
        <v>1466.5136781630258</v>
      </c>
      <c r="FM24" s="1">
        <f t="shared" si="193"/>
        <v>762.7849960803284</v>
      </c>
      <c r="FO24" s="1">
        <f t="shared" si="194"/>
        <v>26.3144382949422</v>
      </c>
      <c r="FP24" s="1">
        <f t="shared" si="195"/>
        <v>21.56542715807739</v>
      </c>
      <c r="FR24" s="1">
        <f t="shared" si="196"/>
        <v>26.0071</v>
      </c>
      <c r="FS24" s="1">
        <f t="shared" si="197"/>
        <v>31.5754</v>
      </c>
      <c r="FT24" s="1">
        <f t="shared" si="198"/>
        <v>11.11</v>
      </c>
      <c r="FU24" s="1">
        <f t="shared" si="199"/>
        <v>1124.5774308024324</v>
      </c>
      <c r="FV24" s="1">
        <f t="shared" si="200"/>
        <v>1386.6095550202035</v>
      </c>
      <c r="FX24" s="1">
        <f t="shared" si="112"/>
        <v>1371.7818811114225</v>
      </c>
      <c r="FY24" s="1">
        <f t="shared" si="113"/>
        <v>1298.9942788893613</v>
      </c>
      <c r="GA24" s="1">
        <f t="shared" si="114"/>
        <v>1473.5394386809212</v>
      </c>
      <c r="GC24" s="1">
        <f t="shared" si="128"/>
        <v>10.843843049195598</v>
      </c>
      <c r="GD24" s="1">
        <f t="shared" si="115"/>
        <v>0.8438430491955984</v>
      </c>
      <c r="GE24" s="2">
        <f t="shared" si="116"/>
        <v>10</v>
      </c>
    </row>
    <row r="25" spans="1:187" ht="12.75">
      <c r="A25" s="1" t="s">
        <v>27</v>
      </c>
      <c r="B25" s="1" t="s">
        <v>30</v>
      </c>
      <c r="C25" s="23">
        <v>1</v>
      </c>
      <c r="D25" s="2">
        <v>1310</v>
      </c>
      <c r="F25" s="1">
        <v>1112</v>
      </c>
      <c r="G25" s="23">
        <v>51.67</v>
      </c>
      <c r="H25" s="23">
        <v>0.16</v>
      </c>
      <c r="I25" s="23">
        <v>5.62</v>
      </c>
      <c r="J25" s="23">
        <v>4.45</v>
      </c>
      <c r="K25" s="23">
        <v>0.16</v>
      </c>
      <c r="L25" s="23">
        <v>21.82</v>
      </c>
      <c r="M25" s="23">
        <v>14.34</v>
      </c>
      <c r="N25" s="23">
        <v>0.22</v>
      </c>
      <c r="O25" s="23">
        <v>0</v>
      </c>
      <c r="P25" s="23">
        <v>1.56</v>
      </c>
      <c r="R25" s="23">
        <v>54.2</v>
      </c>
      <c r="S25" s="23">
        <v>0.06</v>
      </c>
      <c r="T25" s="23">
        <v>4.3</v>
      </c>
      <c r="U25" s="23">
        <v>5.66</v>
      </c>
      <c r="V25" s="23">
        <v>0.19</v>
      </c>
      <c r="W25" s="23">
        <v>31.6</v>
      </c>
      <c r="X25" s="23">
        <v>2.68</v>
      </c>
      <c r="Y25" s="23">
        <v>0.04</v>
      </c>
      <c r="Z25" s="23">
        <v>0</v>
      </c>
      <c r="AA25" s="23">
        <v>1.3</v>
      </c>
      <c r="AC25" s="50">
        <f t="shared" si="117"/>
        <v>1355.9379787756036</v>
      </c>
      <c r="AD25" s="50">
        <f t="shared" si="118"/>
        <v>9.720730022482936</v>
      </c>
      <c r="AF25" s="27">
        <f t="shared" si="119"/>
        <v>1334.5087400624952</v>
      </c>
      <c r="AG25" s="27"/>
      <c r="AH25" s="27">
        <f t="shared" si="120"/>
        <v>1355.937972252578</v>
      </c>
      <c r="AI25" s="27">
        <f t="shared" si="121"/>
        <v>1328.7652874069117</v>
      </c>
      <c r="AJ25" s="27">
        <f t="shared" si="122"/>
        <v>11.335397864837734</v>
      </c>
      <c r="AK25" s="27">
        <f t="shared" si="123"/>
        <v>9.720730022482936</v>
      </c>
      <c r="AL25" s="29">
        <f t="shared" si="124"/>
        <v>1274.312880400728</v>
      </c>
      <c r="AM25" s="42">
        <f t="shared" si="125"/>
        <v>1.1386124183408746</v>
      </c>
      <c r="AN25" s="44"/>
      <c r="AO25" s="1">
        <f t="shared" si="126"/>
        <v>0.22235406161690977</v>
      </c>
      <c r="AQ25" s="1">
        <f t="shared" si="0"/>
        <v>0.8599584250794301</v>
      </c>
      <c r="AR25" s="1">
        <f t="shared" si="1"/>
        <v>0.002003034597415084</v>
      </c>
      <c r="AS25" s="1">
        <f t="shared" si="2"/>
        <v>0.05511911417110464</v>
      </c>
      <c r="AT25" s="1">
        <f t="shared" si="3"/>
        <v>0.061937689292713344</v>
      </c>
      <c r="AU25" s="1">
        <f t="shared" si="4"/>
        <v>0.0022555066079295153</v>
      </c>
      <c r="AV25" s="1">
        <f t="shared" si="5"/>
        <v>0.541380097458342</v>
      </c>
      <c r="AW25" s="1">
        <f t="shared" si="6"/>
        <v>0.2557179897784134</v>
      </c>
      <c r="AX25" s="1">
        <f t="shared" si="7"/>
        <v>0.0035495951041402797</v>
      </c>
      <c r="AY25" s="1">
        <f t="shared" si="8"/>
        <v>0</v>
      </c>
      <c r="AZ25" s="1">
        <f t="shared" si="9"/>
        <v>0.01026327943357224</v>
      </c>
      <c r="BA25" s="1">
        <f t="shared" si="129"/>
        <v>1.7921847315230606</v>
      </c>
      <c r="BC25" s="15">
        <f t="shared" si="130"/>
        <v>1.7199168501588602</v>
      </c>
      <c r="BD25" s="15">
        <f t="shared" si="130"/>
        <v>0.004006069194830168</v>
      </c>
      <c r="BE25" s="15">
        <f t="shared" si="131"/>
        <v>0.1653573425133139</v>
      </c>
      <c r="BF25" s="15">
        <f t="shared" si="132"/>
        <v>0.061937689292713344</v>
      </c>
      <c r="BG25" s="15">
        <f t="shared" si="132"/>
        <v>0.0022555066079295153</v>
      </c>
      <c r="BH25" s="15">
        <f t="shared" si="132"/>
        <v>0.541380097458342</v>
      </c>
      <c r="BI25" s="15">
        <f t="shared" si="133"/>
        <v>0.2557179897784134</v>
      </c>
      <c r="BJ25" s="15">
        <f t="shared" si="133"/>
        <v>0.0035495951041402797</v>
      </c>
      <c r="BK25" s="15">
        <f t="shared" si="133"/>
        <v>0</v>
      </c>
      <c r="BL25" s="15">
        <f t="shared" si="134"/>
        <v>0.030789838300716722</v>
      </c>
      <c r="BM25" s="15">
        <f t="shared" si="135"/>
        <v>2.7849109784092594</v>
      </c>
      <c r="BN25" s="15">
        <f t="shared" si="136"/>
        <v>2.1544674305629687</v>
      </c>
      <c r="BP25" s="22">
        <f t="shared" si="17"/>
        <v>1.8527524184718571</v>
      </c>
      <c r="BQ25" s="22">
        <f t="shared" si="18"/>
        <v>0.0043154728024216065</v>
      </c>
      <c r="BR25" s="22">
        <f t="shared" si="137"/>
        <v>0.14724758152814288</v>
      </c>
      <c r="BS25" s="22">
        <f t="shared" si="138"/>
        <v>0.09025709103811058</v>
      </c>
      <c r="BT25" s="22">
        <f t="shared" si="21"/>
        <v>0.23750467256625346</v>
      </c>
      <c r="BU25" s="22">
        <f t="shared" si="22"/>
        <v>0.13344273430547962</v>
      </c>
      <c r="BV25" s="22">
        <f t="shared" si="23"/>
        <v>0.0048594155262037</v>
      </c>
      <c r="BW25" s="22">
        <f t="shared" si="24"/>
        <v>1.1663857875290038</v>
      </c>
      <c r="BX25" s="22">
        <f t="shared" si="25"/>
        <v>0.5509360803866259</v>
      </c>
      <c r="BY25" s="22">
        <f t="shared" si="26"/>
        <v>0.015294974087112004</v>
      </c>
      <c r="BZ25" s="22">
        <f t="shared" si="27"/>
        <v>0</v>
      </c>
      <c r="CA25" s="22">
        <f t="shared" si="28"/>
        <v>0.044223802540796296</v>
      </c>
      <c r="CB25" s="15">
        <f t="shared" si="139"/>
        <v>4.009715358215754</v>
      </c>
      <c r="CC25" s="15">
        <f t="shared" si="140"/>
        <v>0.019430716431504784</v>
      </c>
      <c r="CD25" s="15">
        <f t="shared" si="141"/>
        <v>0.02907545503203046</v>
      </c>
      <c r="CE25" s="15">
        <f t="shared" si="142"/>
        <v>0.015294974087112004</v>
      </c>
      <c r="CF25" s="15">
        <f t="shared" si="143"/>
        <v>0.07496211695099858</v>
      </c>
      <c r="CG25" s="15">
        <f t="shared" si="144"/>
        <v>0.03614273228857215</v>
      </c>
      <c r="CH25" s="15">
        <f t="shared" si="145"/>
        <v>0.022111901270398148</v>
      </c>
      <c r="CI25" s="15">
        <f t="shared" si="146"/>
        <v>0.41771932987665705</v>
      </c>
      <c r="CJ25" s="15">
        <f t="shared" si="147"/>
        <v>0.44105459597891317</v>
      </c>
      <c r="CK25" s="15">
        <f t="shared" si="148"/>
        <v>0.3943010413009835</v>
      </c>
      <c r="CL25" s="15">
        <f t="shared" si="149"/>
        <v>0.3734394069204746</v>
      </c>
      <c r="CM25" s="15">
        <f t="shared" si="150"/>
        <v>1.007285650452651</v>
      </c>
      <c r="CN25" s="15">
        <f t="shared" si="151"/>
        <v>0.417719329876657</v>
      </c>
      <c r="CO25" s="15"/>
      <c r="CP25" s="1">
        <f t="shared" si="152"/>
        <v>0.9109557846843608</v>
      </c>
      <c r="CQ25" s="15">
        <f t="shared" si="153"/>
        <v>0.11401201787397483</v>
      </c>
      <c r="CR25" s="15">
        <f t="shared" si="154"/>
        <v>0.3516753083484761</v>
      </c>
      <c r="CS25" s="22">
        <f t="shared" si="155"/>
        <v>0.4548344043982836</v>
      </c>
      <c r="CT25" s="22">
        <f t="shared" si="156"/>
        <v>0.4633351112706108</v>
      </c>
      <c r="CU25" s="22">
        <f t="shared" si="127"/>
        <v>0.3693491713494997</v>
      </c>
      <c r="CV25" s="1">
        <f t="shared" si="47"/>
        <v>0.902065930700699</v>
      </c>
      <c r="CW25" s="1">
        <f t="shared" si="48"/>
        <v>0.0007511379740306564</v>
      </c>
      <c r="CX25" s="1">
        <f t="shared" si="49"/>
        <v>0.042172987710987535</v>
      </c>
      <c r="CY25" s="1">
        <f t="shared" si="50"/>
        <v>0.07877917334758595</v>
      </c>
      <c r="CZ25" s="1">
        <f t="shared" si="51"/>
        <v>0.0026784140969162997</v>
      </c>
      <c r="DA25" s="1">
        <f t="shared" si="52"/>
        <v>0.7840335050267465</v>
      </c>
      <c r="DB25" s="1">
        <f t="shared" si="53"/>
        <v>0.04779108874519861</v>
      </c>
      <c r="DC25" s="1">
        <f t="shared" si="54"/>
        <v>0.0006453809280255055</v>
      </c>
      <c r="DD25" s="1">
        <f t="shared" si="55"/>
        <v>0</v>
      </c>
      <c r="DE25" s="1">
        <f t="shared" si="56"/>
        <v>0.0085527328613102</v>
      </c>
      <c r="DF25" s="1">
        <f t="shared" si="157"/>
        <v>1.8674703513915005</v>
      </c>
      <c r="DH25" s="15">
        <f t="shared" si="158"/>
        <v>1.804131861401398</v>
      </c>
      <c r="DI25" s="15">
        <f t="shared" si="158"/>
        <v>0.0015022759480613128</v>
      </c>
      <c r="DJ25" s="15">
        <f t="shared" si="159"/>
        <v>0.1265189631329626</v>
      </c>
      <c r="DK25" s="15">
        <f t="shared" si="160"/>
        <v>0.07877917334758595</v>
      </c>
      <c r="DL25" s="15">
        <f t="shared" si="160"/>
        <v>0.0026784140969162997</v>
      </c>
      <c r="DM25" s="15">
        <f t="shared" si="160"/>
        <v>0.7840335050267465</v>
      </c>
      <c r="DN25" s="15">
        <f t="shared" si="161"/>
        <v>0.04779108874519861</v>
      </c>
      <c r="DO25" s="15">
        <f t="shared" si="161"/>
        <v>0.0006453809280255055</v>
      </c>
      <c r="DP25" s="15">
        <f t="shared" si="161"/>
        <v>0</v>
      </c>
      <c r="DQ25" s="15">
        <f t="shared" si="162"/>
        <v>0.025658198583930602</v>
      </c>
      <c r="DR25" s="15">
        <f t="shared" si="163"/>
        <v>2.8717388612108254</v>
      </c>
      <c r="DS25" s="15">
        <f t="shared" si="164"/>
        <v>2.089326463852006</v>
      </c>
      <c r="DU25" s="22">
        <f t="shared" si="64"/>
        <v>1.88471022115226</v>
      </c>
      <c r="DV25" s="22">
        <f t="shared" si="65"/>
        <v>0.0015693724471464313</v>
      </c>
      <c r="DW25" s="22">
        <f t="shared" si="165"/>
        <v>0.11528977884774005</v>
      </c>
      <c r="DX25" s="22">
        <f t="shared" si="166"/>
        <v>0.06093649972080331</v>
      </c>
      <c r="DY25" s="22">
        <f t="shared" si="68"/>
        <v>0.17622627856854337</v>
      </c>
      <c r="DZ25" s="22">
        <f t="shared" si="69"/>
        <v>0.16459541167549596</v>
      </c>
      <c r="EA25" s="22">
        <f t="shared" si="70"/>
        <v>0.005596081453841497</v>
      </c>
      <c r="EB25" s="22">
        <f t="shared" si="71"/>
        <v>1.6381019505990262</v>
      </c>
      <c r="EC25" s="22">
        <f t="shared" si="72"/>
        <v>0.0998511864516432</v>
      </c>
      <c r="ED25" s="22">
        <f t="shared" si="73"/>
        <v>0.002696822904378111</v>
      </c>
      <c r="EE25" s="22">
        <f t="shared" si="74"/>
        <v>0</v>
      </c>
      <c r="EF25" s="22">
        <f t="shared" si="75"/>
        <v>0.03573890221078418</v>
      </c>
      <c r="EG25" s="15">
        <f t="shared" si="167"/>
        <v>4.009086227463119</v>
      </c>
      <c r="EH25" s="15">
        <f t="shared" si="168"/>
        <v>0.01817245492623782</v>
      </c>
      <c r="EI25" s="15">
        <f t="shared" si="169"/>
        <v>0.027196903077443935</v>
      </c>
      <c r="EJ25" s="15">
        <f t="shared" si="170"/>
        <v>0.002696822904378111</v>
      </c>
      <c r="EK25" s="15">
        <f t="shared" si="171"/>
        <v>0.0015693724471464313</v>
      </c>
      <c r="EL25" s="15">
        <f t="shared" si="172"/>
        <v>0.03573890221078418</v>
      </c>
      <c r="EM25" s="15">
        <f t="shared" si="173"/>
        <v>0.022500774605641025</v>
      </c>
      <c r="EN25" s="15">
        <f t="shared" si="174"/>
        <v>0.0998511864516432</v>
      </c>
      <c r="EO25" s="15">
        <f t="shared" si="175"/>
        <v>0.8421860551119666</v>
      </c>
      <c r="EP25" s="15">
        <f t="shared" si="176"/>
        <v>0.7629218722387011</v>
      </c>
      <c r="EQ25" s="15">
        <f t="shared" si="177"/>
        <v>0.0904534736125683</v>
      </c>
      <c r="ER25" s="15">
        <f t="shared" si="178"/>
        <v>0.6648016155718204</v>
      </c>
      <c r="ES25" s="15">
        <f t="shared" si="179"/>
        <v>0.09981060899910944</v>
      </c>
      <c r="ET25" s="15">
        <f t="shared" si="180"/>
        <v>0.08205150634004622</v>
      </c>
      <c r="EU25" s="15">
        <f t="shared" si="181"/>
        <v>0.7031803100597476</v>
      </c>
      <c r="EV25" s="15">
        <f t="shared" si="182"/>
        <v>1.0045431137315597</v>
      </c>
      <c r="EX25" s="1">
        <f t="shared" si="92"/>
        <v>1310</v>
      </c>
      <c r="EY25" s="1">
        <f t="shared" si="93"/>
        <v>10</v>
      </c>
      <c r="FA25" s="1">
        <f t="shared" si="183"/>
        <v>0.4821152509704661</v>
      </c>
      <c r="FB25" s="1">
        <f t="shared" si="184"/>
        <v>1435.9306621038775</v>
      </c>
      <c r="FD25" s="1">
        <f t="shared" si="185"/>
        <v>1284.0845522245124</v>
      </c>
      <c r="FE25" s="1">
        <f t="shared" si="186"/>
        <v>1167.7242771156434</v>
      </c>
      <c r="FF25" s="1">
        <f t="shared" si="187"/>
        <v>1622.6106053864826</v>
      </c>
      <c r="FG25" s="1">
        <f t="shared" si="188"/>
        <v>1478.0947337244777</v>
      </c>
      <c r="FH25" s="1">
        <f t="shared" si="189"/>
        <v>0.5289928605934376</v>
      </c>
      <c r="FI25" s="1">
        <f t="shared" si="190"/>
        <v>1731.9401929542069</v>
      </c>
      <c r="FJ25" s="1">
        <f t="shared" si="191"/>
        <v>1493.9938993537608</v>
      </c>
      <c r="FL25" s="1">
        <f t="shared" si="192"/>
        <v>1474.260774955198</v>
      </c>
      <c r="FM25" s="1">
        <f t="shared" si="193"/>
        <v>780.5665529945762</v>
      </c>
      <c r="FO25" s="1">
        <f t="shared" si="194"/>
        <v>33.1095139514387</v>
      </c>
      <c r="FP25" s="1">
        <f t="shared" si="195"/>
        <v>26.359300666825124</v>
      </c>
      <c r="FR25" s="1">
        <f t="shared" si="196"/>
        <v>26.0071</v>
      </c>
      <c r="FS25" s="1">
        <f t="shared" si="197"/>
        <v>31.5754</v>
      </c>
      <c r="FT25" s="1">
        <f t="shared" si="198"/>
        <v>11.11</v>
      </c>
      <c r="FU25" s="1">
        <f t="shared" si="199"/>
        <v>1090.5700837803374</v>
      </c>
      <c r="FV25" s="1">
        <f t="shared" si="200"/>
        <v>1367.1599895371091</v>
      </c>
      <c r="FX25" s="1">
        <f t="shared" si="112"/>
        <v>1339.7943209062942</v>
      </c>
      <c r="FY25" s="1">
        <f t="shared" si="113"/>
        <v>1288.1043189850311</v>
      </c>
      <c r="GA25" s="1">
        <f t="shared" si="114"/>
        <v>1478.048588736896</v>
      </c>
      <c r="GC25" s="1">
        <f t="shared" si="128"/>
        <v>11.335397864837734</v>
      </c>
      <c r="GD25" s="1">
        <f t="shared" si="115"/>
        <v>1.3353978648377343</v>
      </c>
      <c r="GE25" s="2">
        <f t="shared" si="116"/>
        <v>10</v>
      </c>
    </row>
    <row r="26" spans="1:187" ht="12.75">
      <c r="A26" s="1" t="s">
        <v>27</v>
      </c>
      <c r="B26" s="1" t="s">
        <v>31</v>
      </c>
      <c r="C26" s="23">
        <v>1</v>
      </c>
      <c r="D26" s="2">
        <v>1314</v>
      </c>
      <c r="F26" s="1">
        <v>1111</v>
      </c>
      <c r="G26" s="23">
        <v>53</v>
      </c>
      <c r="H26" s="23">
        <v>0.11</v>
      </c>
      <c r="I26" s="23">
        <v>4.5</v>
      </c>
      <c r="J26" s="23">
        <v>5.1</v>
      </c>
      <c r="K26" s="23">
        <v>0.2</v>
      </c>
      <c r="L26" s="23">
        <v>24.7</v>
      </c>
      <c r="M26" s="23">
        <v>10.9</v>
      </c>
      <c r="N26" s="23">
        <v>0.16</v>
      </c>
      <c r="O26" s="23">
        <v>0</v>
      </c>
      <c r="P26" s="23">
        <v>1.5</v>
      </c>
      <c r="R26" s="23">
        <v>54.5</v>
      </c>
      <c r="S26" s="23">
        <v>0.09</v>
      </c>
      <c r="T26" s="23">
        <v>3.9</v>
      </c>
      <c r="U26" s="23">
        <v>5.8</v>
      </c>
      <c r="V26" s="23">
        <v>0.19</v>
      </c>
      <c r="W26" s="23">
        <v>31.6</v>
      </c>
      <c r="X26" s="23">
        <v>2.7</v>
      </c>
      <c r="Y26" s="23">
        <v>0.08</v>
      </c>
      <c r="Z26" s="23">
        <v>0</v>
      </c>
      <c r="AA26" s="23">
        <v>1.3</v>
      </c>
      <c r="AC26" s="50">
        <f t="shared" si="117"/>
        <v>1399.6980874521478</v>
      </c>
      <c r="AD26" s="50">
        <f t="shared" si="118"/>
        <v>12.126281053433472</v>
      </c>
      <c r="AF26" s="27">
        <f t="shared" si="119"/>
        <v>1373.281262532561</v>
      </c>
      <c r="AG26" s="27"/>
      <c r="AH26" s="27">
        <f t="shared" si="120"/>
        <v>1399.698078314693</v>
      </c>
      <c r="AI26" s="27">
        <f t="shared" si="121"/>
        <v>1359.8290776934864</v>
      </c>
      <c r="AJ26" s="27">
        <f t="shared" si="122"/>
        <v>12.938678122768186</v>
      </c>
      <c r="AK26" s="27">
        <f t="shared" si="123"/>
        <v>12.126281053433472</v>
      </c>
      <c r="AL26" s="29">
        <f t="shared" si="124"/>
        <v>1346.9871712459067</v>
      </c>
      <c r="AM26" s="42">
        <f t="shared" si="125"/>
        <v>1.1249476476336735</v>
      </c>
      <c r="AN26" s="44"/>
      <c r="AO26" s="1">
        <f t="shared" si="126"/>
        <v>0.17174434266824848</v>
      </c>
      <c r="AQ26" s="1">
        <f t="shared" si="0"/>
        <v>0.8820939912755912</v>
      </c>
      <c r="AR26" s="1">
        <f t="shared" si="1"/>
        <v>0.00137708628572287</v>
      </c>
      <c r="AS26" s="1">
        <f t="shared" si="2"/>
        <v>0.04413452202312649</v>
      </c>
      <c r="AT26" s="1">
        <f t="shared" si="3"/>
        <v>0.07098476750400855</v>
      </c>
      <c r="AU26" s="1">
        <f t="shared" si="4"/>
        <v>0.0028193832599118945</v>
      </c>
      <c r="AV26" s="1">
        <f t="shared" si="5"/>
        <v>0.6128363156379948</v>
      </c>
      <c r="AW26" s="1">
        <f t="shared" si="6"/>
        <v>0.19437420422487492</v>
      </c>
      <c r="AX26" s="1">
        <f t="shared" si="7"/>
        <v>0.002581523712102022</v>
      </c>
      <c r="AY26" s="1">
        <f t="shared" si="8"/>
        <v>0</v>
      </c>
      <c r="AZ26" s="1">
        <f t="shared" si="9"/>
        <v>0.009868537916896385</v>
      </c>
      <c r="BA26" s="1">
        <f t="shared" si="129"/>
        <v>1.821070331840229</v>
      </c>
      <c r="BC26" s="15">
        <f t="shared" si="130"/>
        <v>1.7641879825511824</v>
      </c>
      <c r="BD26" s="15">
        <f t="shared" si="130"/>
        <v>0.00275417257144574</v>
      </c>
      <c r="BE26" s="15">
        <f t="shared" si="131"/>
        <v>0.13240356606937947</v>
      </c>
      <c r="BF26" s="15">
        <f t="shared" si="132"/>
        <v>0.07098476750400855</v>
      </c>
      <c r="BG26" s="15">
        <f t="shared" si="132"/>
        <v>0.0028193832599118945</v>
      </c>
      <c r="BH26" s="15">
        <f t="shared" si="132"/>
        <v>0.6128363156379948</v>
      </c>
      <c r="BI26" s="15">
        <f t="shared" si="133"/>
        <v>0.19437420422487492</v>
      </c>
      <c r="BJ26" s="15">
        <f t="shared" si="133"/>
        <v>0.002581523712102022</v>
      </c>
      <c r="BK26" s="15">
        <f t="shared" si="133"/>
        <v>0</v>
      </c>
      <c r="BL26" s="15">
        <f t="shared" si="134"/>
        <v>0.029605613750689156</v>
      </c>
      <c r="BM26" s="15">
        <f t="shared" si="135"/>
        <v>2.8125475292815887</v>
      </c>
      <c r="BN26" s="15">
        <f t="shared" si="136"/>
        <v>2.133297282102317</v>
      </c>
      <c r="BP26" s="22">
        <f t="shared" si="17"/>
        <v>1.8817687141470034</v>
      </c>
      <c r="BQ26" s="22">
        <f t="shared" si="18"/>
        <v>0.002937734430552973</v>
      </c>
      <c r="BR26" s="22">
        <f t="shared" si="137"/>
        <v>0.11823128585299658</v>
      </c>
      <c r="BS26" s="22">
        <f t="shared" si="138"/>
        <v>0.07007282590464459</v>
      </c>
      <c r="BT26" s="22">
        <f t="shared" si="21"/>
        <v>0.18830411175764117</v>
      </c>
      <c r="BU26" s="22">
        <f t="shared" si="22"/>
        <v>0.1514316115869663</v>
      </c>
      <c r="BV26" s="22">
        <f t="shared" si="23"/>
        <v>0.006014582645574814</v>
      </c>
      <c r="BW26" s="22">
        <f t="shared" si="24"/>
        <v>1.3073620465241318</v>
      </c>
      <c r="BX26" s="22">
        <f t="shared" si="25"/>
        <v>0.4146579615837263</v>
      </c>
      <c r="BY26" s="22">
        <f t="shared" si="26"/>
        <v>0.011014315037419854</v>
      </c>
      <c r="BZ26" s="22">
        <f t="shared" si="27"/>
        <v>0</v>
      </c>
      <c r="CA26" s="22">
        <f t="shared" si="28"/>
        <v>0.04210505023287744</v>
      </c>
      <c r="CB26" s="15">
        <f t="shared" si="139"/>
        <v>4.0055961279458945</v>
      </c>
      <c r="CC26" s="15">
        <f t="shared" si="140"/>
        <v>0.011192255891788454</v>
      </c>
      <c r="CD26" s="15">
        <f t="shared" si="141"/>
        <v>0.016764929165530518</v>
      </c>
      <c r="CE26" s="15">
        <f t="shared" si="142"/>
        <v>0.011014315037419854</v>
      </c>
      <c r="CF26" s="15">
        <f t="shared" si="143"/>
        <v>0.05905851086722473</v>
      </c>
      <c r="CG26" s="15">
        <f t="shared" si="144"/>
        <v>0.029586387492885925</v>
      </c>
      <c r="CH26" s="15">
        <f t="shared" si="145"/>
        <v>0.02105252511643872</v>
      </c>
      <c r="CI26" s="15">
        <f t="shared" si="146"/>
        <v>0.3049605381071769</v>
      </c>
      <c r="CJ26" s="15">
        <f t="shared" si="147"/>
        <v>0.5769165600019606</v>
      </c>
      <c r="CK26" s="15">
        <f t="shared" si="148"/>
        <v>0.5149061792335423</v>
      </c>
      <c r="CL26" s="15">
        <f t="shared" si="149"/>
        <v>0.2721815880848314</v>
      </c>
      <c r="CM26" s="15">
        <f t="shared" si="150"/>
        <v>1.0025888366231066</v>
      </c>
      <c r="CN26" s="15">
        <f t="shared" si="151"/>
        <v>0.3049605381071769</v>
      </c>
      <c r="CO26" s="15"/>
      <c r="CP26" s="1">
        <f t="shared" si="152"/>
        <v>0.9031229484302947</v>
      </c>
      <c r="CQ26" s="15">
        <f t="shared" si="153"/>
        <v>0.14023935569517784</v>
      </c>
      <c r="CR26" s="15">
        <f t="shared" si="154"/>
        <v>0.4350028348421084</v>
      </c>
      <c r="CS26" s="22">
        <f t="shared" si="155"/>
        <v>0.35885973661945797</v>
      </c>
      <c r="CT26" s="22">
        <f t="shared" si="156"/>
        <v>0.5374795078950958</v>
      </c>
      <c r="CU26" s="22">
        <f t="shared" si="127"/>
        <v>0.5049996254130223</v>
      </c>
      <c r="CV26" s="1">
        <f t="shared" si="47"/>
        <v>0.9070589155569758</v>
      </c>
      <c r="CW26" s="1">
        <f t="shared" si="48"/>
        <v>0.0011267069610459847</v>
      </c>
      <c r="CX26" s="1">
        <f t="shared" si="49"/>
        <v>0.038249919086709626</v>
      </c>
      <c r="CY26" s="1">
        <f t="shared" si="50"/>
        <v>0.08072777480848031</v>
      </c>
      <c r="CZ26" s="1">
        <f t="shared" si="51"/>
        <v>0.0026784140969162997</v>
      </c>
      <c r="DA26" s="1">
        <f t="shared" si="52"/>
        <v>0.7840335050267465</v>
      </c>
      <c r="DB26" s="1">
        <f t="shared" si="53"/>
        <v>0.04814773866120755</v>
      </c>
      <c r="DC26" s="1">
        <f t="shared" si="54"/>
        <v>0.001290761856051011</v>
      </c>
      <c r="DD26" s="1">
        <f t="shared" si="55"/>
        <v>0</v>
      </c>
      <c r="DE26" s="1">
        <f t="shared" si="56"/>
        <v>0.0085527328613102</v>
      </c>
      <c r="DF26" s="1">
        <f t="shared" si="157"/>
        <v>1.871866468915443</v>
      </c>
      <c r="DH26" s="15">
        <f t="shared" si="158"/>
        <v>1.8141178311139516</v>
      </c>
      <c r="DI26" s="15">
        <f t="shared" si="158"/>
        <v>0.0022534139220919693</v>
      </c>
      <c r="DJ26" s="15">
        <f t="shared" si="159"/>
        <v>0.11474975726012887</v>
      </c>
      <c r="DK26" s="15">
        <f t="shared" si="160"/>
        <v>0.08072777480848031</v>
      </c>
      <c r="DL26" s="15">
        <f t="shared" si="160"/>
        <v>0.0026784140969162997</v>
      </c>
      <c r="DM26" s="15">
        <f t="shared" si="160"/>
        <v>0.7840335050267465</v>
      </c>
      <c r="DN26" s="15">
        <f t="shared" si="161"/>
        <v>0.04814773866120755</v>
      </c>
      <c r="DO26" s="15">
        <f t="shared" si="161"/>
        <v>0.001290761856051011</v>
      </c>
      <c r="DP26" s="15">
        <f t="shared" si="161"/>
        <v>0</v>
      </c>
      <c r="DQ26" s="15">
        <f t="shared" si="162"/>
        <v>0.025658198583930602</v>
      </c>
      <c r="DR26" s="15">
        <f t="shared" si="163"/>
        <v>2.873657395329505</v>
      </c>
      <c r="DS26" s="15">
        <f t="shared" si="164"/>
        <v>2.087931571018756</v>
      </c>
      <c r="DU26" s="22">
        <f t="shared" si="64"/>
        <v>1.8938769465654457</v>
      </c>
      <c r="DV26" s="22">
        <f t="shared" si="65"/>
        <v>0.002352487035254511</v>
      </c>
      <c r="DW26" s="22">
        <f t="shared" si="165"/>
        <v>0.1061230534345543</v>
      </c>
      <c r="DX26" s="22">
        <f t="shared" si="166"/>
        <v>0.053603373865553555</v>
      </c>
      <c r="DY26" s="22">
        <f t="shared" si="68"/>
        <v>0.15972642730010786</v>
      </c>
      <c r="DZ26" s="22">
        <f t="shared" si="69"/>
        <v>0.16855406968071865</v>
      </c>
      <c r="EA26" s="22">
        <f t="shared" si="70"/>
        <v>0.005592345353213232</v>
      </c>
      <c r="EB26" s="22">
        <f t="shared" si="71"/>
        <v>1.6370083078818367</v>
      </c>
      <c r="EC26" s="22">
        <f t="shared" si="72"/>
        <v>0.10052918362389558</v>
      </c>
      <c r="ED26" s="22">
        <f t="shared" si="73"/>
        <v>0.005390044859831346</v>
      </c>
      <c r="EE26" s="22">
        <f t="shared" si="74"/>
        <v>0</v>
      </c>
      <c r="EF26" s="22">
        <f t="shared" si="75"/>
        <v>0.03571504191923829</v>
      </c>
      <c r="EG26" s="15">
        <f t="shared" si="167"/>
        <v>4.008744854219541</v>
      </c>
      <c r="EH26" s="15">
        <f t="shared" si="168"/>
        <v>0.017489708439084775</v>
      </c>
      <c r="EI26" s="15">
        <f t="shared" si="169"/>
        <v>0.026177333417475523</v>
      </c>
      <c r="EJ26" s="15">
        <f t="shared" si="170"/>
        <v>0.005390044859831346</v>
      </c>
      <c r="EK26" s="15">
        <f t="shared" si="171"/>
        <v>0.002352487035254511</v>
      </c>
      <c r="EL26" s="15">
        <f t="shared" si="172"/>
        <v>0.03571504191923829</v>
      </c>
      <c r="EM26" s="15">
        <f t="shared" si="173"/>
        <v>0.012498287086483914</v>
      </c>
      <c r="EN26" s="15">
        <f t="shared" si="174"/>
        <v>0.10052918362389558</v>
      </c>
      <c r="EO26" s="15">
        <f t="shared" si="175"/>
        <v>0.8478873825850674</v>
      </c>
      <c r="EP26" s="15">
        <f t="shared" si="176"/>
        <v>0.7663611903931702</v>
      </c>
      <c r="EQ26" s="15">
        <f t="shared" si="177"/>
        <v>0.0908630867891618</v>
      </c>
      <c r="ER26" s="15">
        <f t="shared" si="178"/>
        <v>0.6641295546377676</v>
      </c>
      <c r="ES26" s="15">
        <f t="shared" si="179"/>
        <v>0.0999745340666933</v>
      </c>
      <c r="ET26" s="15">
        <f t="shared" si="180"/>
        <v>0.08448446411055932</v>
      </c>
      <c r="EU26" s="15">
        <f t="shared" si="181"/>
        <v>0.7041821385390922</v>
      </c>
      <c r="EV26" s="15">
        <f t="shared" si="182"/>
        <v>1.004372427109771</v>
      </c>
      <c r="EX26" s="1">
        <f t="shared" si="92"/>
        <v>1314</v>
      </c>
      <c r="EY26" s="1">
        <f t="shared" si="93"/>
        <v>10</v>
      </c>
      <c r="FA26" s="1">
        <f t="shared" si="183"/>
        <v>0.6406569587249348</v>
      </c>
      <c r="FB26" s="1">
        <f t="shared" si="184"/>
        <v>1517.7937362139785</v>
      </c>
      <c r="FD26" s="1">
        <f t="shared" si="185"/>
        <v>1370.511511846371</v>
      </c>
      <c r="FE26" s="1">
        <f t="shared" si="186"/>
        <v>1284.1162052992154</v>
      </c>
      <c r="FF26" s="1">
        <f t="shared" si="187"/>
        <v>1659.6864824799666</v>
      </c>
      <c r="FG26" s="1">
        <f t="shared" si="188"/>
        <v>1534.406477925973</v>
      </c>
      <c r="FH26" s="1">
        <f t="shared" si="189"/>
        <v>0.6549969532365858</v>
      </c>
      <c r="FI26" s="1">
        <f t="shared" si="190"/>
        <v>1924.036556964677</v>
      </c>
      <c r="FJ26" s="1">
        <f t="shared" si="191"/>
        <v>1606.5110764856659</v>
      </c>
      <c r="FL26" s="1">
        <f t="shared" si="192"/>
        <v>1535.1583720946428</v>
      </c>
      <c r="FM26" s="1">
        <f t="shared" si="193"/>
        <v>743.3010747347026</v>
      </c>
      <c r="FO26" s="1">
        <f t="shared" si="194"/>
        <v>49.057283185501646</v>
      </c>
      <c r="FP26" s="1">
        <f t="shared" si="195"/>
        <v>37.21866785644713</v>
      </c>
      <c r="FR26" s="1">
        <f t="shared" si="196"/>
        <v>26.0071</v>
      </c>
      <c r="FS26" s="1">
        <f t="shared" si="197"/>
        <v>31.5754</v>
      </c>
      <c r="FT26" s="1">
        <f t="shared" si="198"/>
        <v>11.11</v>
      </c>
      <c r="FU26" s="1">
        <f t="shared" si="199"/>
        <v>1123.395782791712</v>
      </c>
      <c r="FV26" s="1">
        <f t="shared" si="200"/>
        <v>1408.4520105890433</v>
      </c>
      <c r="FX26" s="1">
        <f t="shared" si="112"/>
        <v>1342.430598691904</v>
      </c>
      <c r="FY26" s="1">
        <f t="shared" si="113"/>
        <v>1480.3580848328806</v>
      </c>
      <c r="GA26" s="1">
        <f t="shared" si="114"/>
        <v>1569.3470996761166</v>
      </c>
      <c r="GC26" s="1">
        <f t="shared" si="128"/>
        <v>12.938678122768186</v>
      </c>
      <c r="GD26" s="1">
        <f t="shared" si="115"/>
        <v>2.938678122768186</v>
      </c>
      <c r="GE26" s="2">
        <f t="shared" si="116"/>
        <v>10</v>
      </c>
    </row>
    <row r="27" spans="1:187" ht="12.75">
      <c r="A27" s="1" t="s">
        <v>33</v>
      </c>
      <c r="B27" s="1" t="s">
        <v>32</v>
      </c>
      <c r="C27" s="23">
        <v>1.5</v>
      </c>
      <c r="D27" s="2">
        <v>1350</v>
      </c>
      <c r="F27" s="1">
        <v>1032</v>
      </c>
      <c r="G27" s="23">
        <v>51.64</v>
      </c>
      <c r="H27" s="23">
        <v>0.38</v>
      </c>
      <c r="I27" s="23">
        <v>8.16</v>
      </c>
      <c r="J27" s="23">
        <v>3.97</v>
      </c>
      <c r="K27" s="23">
        <v>0</v>
      </c>
      <c r="L27" s="23">
        <v>19.66</v>
      </c>
      <c r="M27" s="23">
        <v>14.85</v>
      </c>
      <c r="N27" s="23">
        <v>0.66</v>
      </c>
      <c r="O27" s="23">
        <v>0</v>
      </c>
      <c r="P27" s="23">
        <v>0.75</v>
      </c>
      <c r="R27" s="23">
        <v>53.3</v>
      </c>
      <c r="S27" s="23">
        <v>0.16</v>
      </c>
      <c r="T27" s="23">
        <v>7.5</v>
      </c>
      <c r="U27" s="23">
        <v>5.4</v>
      </c>
      <c r="V27" s="23">
        <v>0</v>
      </c>
      <c r="W27" s="23">
        <v>30.6</v>
      </c>
      <c r="X27" s="23">
        <v>2.3</v>
      </c>
      <c r="Y27" s="23">
        <v>0</v>
      </c>
      <c r="Z27" s="23">
        <v>0</v>
      </c>
      <c r="AA27" s="23">
        <v>0.76</v>
      </c>
      <c r="AC27" s="50">
        <f t="shared" si="117"/>
        <v>1319.781362874587</v>
      </c>
      <c r="AD27" s="50">
        <f t="shared" si="118"/>
        <v>15.307649114160194</v>
      </c>
      <c r="AF27" s="27">
        <f t="shared" si="119"/>
        <v>1333.8998677647164</v>
      </c>
      <c r="AG27" s="27"/>
      <c r="AH27" s="27">
        <f t="shared" si="120"/>
        <v>1319.7813655077948</v>
      </c>
      <c r="AI27" s="27">
        <f t="shared" si="121"/>
        <v>1353.6492401165738</v>
      </c>
      <c r="AJ27" s="27">
        <f t="shared" si="122"/>
        <v>13.673876595046234</v>
      </c>
      <c r="AK27" s="27">
        <f t="shared" si="123"/>
        <v>15.307649114160194</v>
      </c>
      <c r="AL27" s="29">
        <f t="shared" si="124"/>
        <v>1305.6847340432432</v>
      </c>
      <c r="AM27" s="42">
        <f t="shared" si="125"/>
        <v>1.1442861987114277</v>
      </c>
      <c r="AN27" s="44"/>
      <c r="AO27" s="1">
        <f t="shared" si="126"/>
        <v>0.19674450639999203</v>
      </c>
      <c r="AQ27" s="1">
        <f t="shared" si="0"/>
        <v>0.8594591265938024</v>
      </c>
      <c r="AR27" s="1">
        <f t="shared" si="1"/>
        <v>0.004757207168860824</v>
      </c>
      <c r="AS27" s="1">
        <f t="shared" si="2"/>
        <v>0.08003059993526937</v>
      </c>
      <c r="AT27" s="1">
        <f t="shared" si="3"/>
        <v>0.05525676999821842</v>
      </c>
      <c r="AU27" s="1">
        <f t="shared" si="4"/>
        <v>0</v>
      </c>
      <c r="AV27" s="1">
        <f t="shared" si="5"/>
        <v>0.48778793382360236</v>
      </c>
      <c r="AW27" s="1">
        <f t="shared" si="6"/>
        <v>0.2648125626366415</v>
      </c>
      <c r="AX27" s="1">
        <f t="shared" si="7"/>
        <v>0.01064878531242084</v>
      </c>
      <c r="AY27" s="1">
        <f t="shared" si="8"/>
        <v>0</v>
      </c>
      <c r="AZ27" s="1">
        <f t="shared" si="9"/>
        <v>0.004934268958448193</v>
      </c>
      <c r="BA27" s="1">
        <f t="shared" si="129"/>
        <v>1.767687254427264</v>
      </c>
      <c r="BC27" s="15">
        <f t="shared" si="130"/>
        <v>1.7189182531876048</v>
      </c>
      <c r="BD27" s="15">
        <f t="shared" si="130"/>
        <v>0.009514414337721648</v>
      </c>
      <c r="BE27" s="15">
        <f t="shared" si="131"/>
        <v>0.2400917998058081</v>
      </c>
      <c r="BF27" s="15">
        <f t="shared" si="132"/>
        <v>0.05525676999821842</v>
      </c>
      <c r="BG27" s="15">
        <f t="shared" si="132"/>
        <v>0</v>
      </c>
      <c r="BH27" s="15">
        <f t="shared" si="132"/>
        <v>0.48778793382360236</v>
      </c>
      <c r="BI27" s="15">
        <f t="shared" si="133"/>
        <v>0.2648125626366415</v>
      </c>
      <c r="BJ27" s="15">
        <f t="shared" si="133"/>
        <v>0.01064878531242084</v>
      </c>
      <c r="BK27" s="15">
        <f t="shared" si="133"/>
        <v>0</v>
      </c>
      <c r="BL27" s="15">
        <f t="shared" si="134"/>
        <v>0.014802806875344578</v>
      </c>
      <c r="BM27" s="15">
        <f t="shared" si="135"/>
        <v>2.8018333259773622</v>
      </c>
      <c r="BN27" s="15">
        <f t="shared" si="136"/>
        <v>2.1414550053247807</v>
      </c>
      <c r="BP27" s="22">
        <f t="shared" si="17"/>
        <v>1.8404930485163626</v>
      </c>
      <c r="BQ27" s="22">
        <f t="shared" si="18"/>
        <v>0.01018734510312394</v>
      </c>
      <c r="BR27" s="22">
        <f t="shared" si="137"/>
        <v>0.15950695148363736</v>
      </c>
      <c r="BS27" s="22">
        <f t="shared" si="138"/>
        <v>0.18325690613741796</v>
      </c>
      <c r="BT27" s="22">
        <f t="shared" si="21"/>
        <v>0.3427638576210553</v>
      </c>
      <c r="BU27" s="22">
        <f t="shared" si="22"/>
        <v>0.11832988669076501</v>
      </c>
      <c r="BV27" s="22">
        <f t="shared" si="23"/>
        <v>0</v>
      </c>
      <c r="BW27" s="22">
        <f t="shared" si="24"/>
        <v>1.0445759124235863</v>
      </c>
      <c r="BX27" s="22">
        <f t="shared" si="25"/>
        <v>0.5670841877311179</v>
      </c>
      <c r="BY27" s="22">
        <f t="shared" si="26"/>
        <v>0.045607789215825235</v>
      </c>
      <c r="BZ27" s="22">
        <f t="shared" si="27"/>
        <v>0</v>
      </c>
      <c r="CA27" s="22">
        <f t="shared" si="28"/>
        <v>0.02113302991737515</v>
      </c>
      <c r="CB27" s="15">
        <f t="shared" si="139"/>
        <v>3.990175057219212</v>
      </c>
      <c r="CC27" s="15">
        <f t="shared" si="140"/>
        <v>0</v>
      </c>
      <c r="CD27" s="15">
        <f t="shared" si="141"/>
        <v>-0.029547403730106225</v>
      </c>
      <c r="CE27" s="15">
        <f t="shared" si="142"/>
        <v>0.045607789215825235</v>
      </c>
      <c r="CF27" s="15">
        <f t="shared" si="143"/>
        <v>0.13764911692159273</v>
      </c>
      <c r="CG27" s="15">
        <f t="shared" si="144"/>
        <v>0.010928917281022313</v>
      </c>
      <c r="CH27" s="15">
        <f t="shared" si="145"/>
        <v>0.010566514958687575</v>
      </c>
      <c r="CI27" s="15">
        <f t="shared" si="146"/>
        <v>0.40793963856981524</v>
      </c>
      <c r="CJ27" s="15">
        <f t="shared" si="147"/>
        <v>0.37748308027226796</v>
      </c>
      <c r="CK27" s="15">
        <f t="shared" si="148"/>
        <v>0.3390728064991761</v>
      </c>
      <c r="CL27" s="15">
        <f t="shared" si="149"/>
        <v>0.36643029942523403</v>
      </c>
      <c r="CM27" s="15">
        <f t="shared" si="150"/>
        <v>0.9901750572192111</v>
      </c>
      <c r="CN27" s="15">
        <f t="shared" si="151"/>
        <v>0.40793963856981524</v>
      </c>
      <c r="CO27" s="15"/>
      <c r="CP27" s="1">
        <f t="shared" si="152"/>
        <v>0.8982463697567912</v>
      </c>
      <c r="CQ27" s="15">
        <f t="shared" si="153"/>
        <v>0.11832988669076501</v>
      </c>
      <c r="CR27" s="15">
        <f t="shared" si="154"/>
        <v>0.28696799870222256</v>
      </c>
      <c r="CS27" s="22">
        <f t="shared" si="155"/>
        <v>0.4748872594012775</v>
      </c>
      <c r="CT27" s="22">
        <f t="shared" si="156"/>
        <v>0.3998198672168571</v>
      </c>
      <c r="CU27" s="22">
        <f t="shared" si="127"/>
        <v>0.3080057996607209</v>
      </c>
      <c r="CV27" s="1">
        <f t="shared" si="47"/>
        <v>0.887086976131868</v>
      </c>
      <c r="CW27" s="1">
        <f t="shared" si="48"/>
        <v>0.002003034597415084</v>
      </c>
      <c r="CX27" s="1">
        <f t="shared" si="49"/>
        <v>0.07355753670521081</v>
      </c>
      <c r="CY27" s="1">
        <f t="shared" si="50"/>
        <v>0.07516034206306788</v>
      </c>
      <c r="CZ27" s="1">
        <f t="shared" si="51"/>
        <v>0</v>
      </c>
      <c r="DA27" s="1">
        <f t="shared" si="52"/>
        <v>0.7592223181588115</v>
      </c>
      <c r="DB27" s="1">
        <f t="shared" si="53"/>
        <v>0.04101474034102865</v>
      </c>
      <c r="DC27" s="1">
        <f t="shared" si="54"/>
        <v>0</v>
      </c>
      <c r="DD27" s="1">
        <f t="shared" si="55"/>
        <v>0</v>
      </c>
      <c r="DE27" s="1">
        <f t="shared" si="56"/>
        <v>0.005000059211227502</v>
      </c>
      <c r="DF27" s="1">
        <f t="shared" si="157"/>
        <v>1.8430450072086295</v>
      </c>
      <c r="DH27" s="15">
        <f t="shared" si="158"/>
        <v>1.774173952263736</v>
      </c>
      <c r="DI27" s="15">
        <f t="shared" si="158"/>
        <v>0.004006069194830168</v>
      </c>
      <c r="DJ27" s="15">
        <f t="shared" si="159"/>
        <v>0.22067261011563244</v>
      </c>
      <c r="DK27" s="15">
        <f t="shared" si="160"/>
        <v>0.07516034206306788</v>
      </c>
      <c r="DL27" s="15">
        <f t="shared" si="160"/>
        <v>0</v>
      </c>
      <c r="DM27" s="15">
        <f t="shared" si="160"/>
        <v>0.7592223181588115</v>
      </c>
      <c r="DN27" s="15">
        <f t="shared" si="161"/>
        <v>0.04101474034102865</v>
      </c>
      <c r="DO27" s="15">
        <f t="shared" si="161"/>
        <v>0</v>
      </c>
      <c r="DP27" s="15">
        <f t="shared" si="161"/>
        <v>0</v>
      </c>
      <c r="DQ27" s="15">
        <f t="shared" si="162"/>
        <v>0.015000177633682506</v>
      </c>
      <c r="DR27" s="15">
        <f t="shared" si="163"/>
        <v>2.8892502097707893</v>
      </c>
      <c r="DS27" s="15">
        <f t="shared" si="164"/>
        <v>2.0766633432124917</v>
      </c>
      <c r="DU27" s="22">
        <f t="shared" si="64"/>
        <v>1.842181005574265</v>
      </c>
      <c r="DV27" s="22">
        <f t="shared" si="65"/>
        <v>0.004159628523638295</v>
      </c>
      <c r="DW27" s="22">
        <f t="shared" si="165"/>
        <v>0.1578189944257351</v>
      </c>
      <c r="DX27" s="22">
        <f t="shared" si="166"/>
        <v>0.1476894857597022</v>
      </c>
      <c r="DY27" s="22">
        <f t="shared" si="68"/>
        <v>0.3055084801854373</v>
      </c>
      <c r="DZ27" s="22">
        <f t="shared" si="69"/>
        <v>0.156082727225685</v>
      </c>
      <c r="EA27" s="22">
        <f t="shared" si="70"/>
        <v>0</v>
      </c>
      <c r="EB27" s="22">
        <f t="shared" si="71"/>
        <v>1.5766491574692154</v>
      </c>
      <c r="EC27" s="22">
        <f t="shared" si="72"/>
        <v>0.08517380779759282</v>
      </c>
      <c r="ED27" s="22">
        <f t="shared" si="73"/>
        <v>0</v>
      </c>
      <c r="EE27" s="22">
        <f t="shared" si="74"/>
        <v>0</v>
      </c>
      <c r="EF27" s="22">
        <f t="shared" si="75"/>
        <v>0.020766879355696235</v>
      </c>
      <c r="EG27" s="15">
        <f t="shared" si="167"/>
        <v>3.9905216861315305</v>
      </c>
      <c r="EH27" s="15">
        <f t="shared" si="168"/>
        <v>0</v>
      </c>
      <c r="EI27" s="15">
        <f t="shared" si="169"/>
        <v>-0.028502480469388303</v>
      </c>
      <c r="EJ27" s="15">
        <f t="shared" si="170"/>
        <v>0</v>
      </c>
      <c r="EK27" s="15">
        <f t="shared" si="171"/>
        <v>0.004159628523638295</v>
      </c>
      <c r="EL27" s="15">
        <f t="shared" si="172"/>
        <v>0.020766879355696235</v>
      </c>
      <c r="EM27" s="15">
        <f t="shared" si="173"/>
        <v>0.12692260640400596</v>
      </c>
      <c r="EN27" s="15">
        <f t="shared" si="174"/>
        <v>0.08517380779759282</v>
      </c>
      <c r="EO27" s="15">
        <f t="shared" si="175"/>
        <v>0.7582379209848318</v>
      </c>
      <c r="EP27" s="15">
        <f t="shared" si="176"/>
        <v>0.6899366196475595</v>
      </c>
      <c r="EQ27" s="15">
        <f t="shared" si="177"/>
        <v>0.07750143775196083</v>
      </c>
      <c r="ER27" s="15">
        <f t="shared" si="178"/>
        <v>0.628601195263109</v>
      </c>
      <c r="ES27" s="15">
        <f t="shared" si="179"/>
        <v>0.08951156037843903</v>
      </c>
      <c r="ET27" s="15">
        <f t="shared" si="180"/>
        <v>0.0900789837160341</v>
      </c>
      <c r="EU27" s="15">
        <f t="shared" si="181"/>
        <v>0.6627724090540323</v>
      </c>
      <c r="EV27" s="15">
        <f t="shared" si="182"/>
        <v>0.9952608430657651</v>
      </c>
      <c r="EX27" s="1">
        <f t="shared" si="92"/>
        <v>1350</v>
      </c>
      <c r="EY27" s="1">
        <f t="shared" si="93"/>
        <v>15</v>
      </c>
      <c r="FA27" s="1">
        <f t="shared" si="183"/>
        <v>0.46281758823221814</v>
      </c>
      <c r="FB27" s="1">
        <f t="shared" si="184"/>
        <v>1438.8334606856079</v>
      </c>
      <c r="FD27" s="1">
        <f t="shared" si="185"/>
        <v>1239.6837719946154</v>
      </c>
      <c r="FE27" s="1">
        <f t="shared" si="186"/>
        <v>1137.746138633659</v>
      </c>
      <c r="FF27" s="1">
        <f t="shared" si="187"/>
        <v>1439.6847895159879</v>
      </c>
      <c r="FG27" s="1">
        <f t="shared" si="188"/>
        <v>1327.8731536426199</v>
      </c>
      <c r="FH27" s="1">
        <f t="shared" si="189"/>
        <v>0.4565183790051632</v>
      </c>
      <c r="FI27" s="1">
        <f t="shared" si="190"/>
        <v>1617.9195182796257</v>
      </c>
      <c r="FJ27" s="1">
        <f t="shared" si="191"/>
        <v>1429.0713699189341</v>
      </c>
      <c r="FL27" s="1">
        <f t="shared" si="192"/>
        <v>1415.434344127842</v>
      </c>
      <c r="FM27" s="1">
        <f t="shared" si="193"/>
        <v>1161.3479664996785</v>
      </c>
      <c r="FO27" s="1">
        <f t="shared" si="194"/>
        <v>40.18432335407783</v>
      </c>
      <c r="FP27" s="1">
        <f t="shared" si="195"/>
        <v>31.243102476120775</v>
      </c>
      <c r="FR27" s="1">
        <f t="shared" si="196"/>
        <v>25.89565</v>
      </c>
      <c r="FS27" s="1">
        <f t="shared" si="197"/>
        <v>31.143099999999997</v>
      </c>
      <c r="FT27" s="1">
        <f t="shared" si="198"/>
        <v>2.3649999999999984</v>
      </c>
      <c r="FU27" s="1">
        <f t="shared" si="199"/>
        <v>987.1957255819806</v>
      </c>
      <c r="FV27" s="1">
        <f t="shared" si="200"/>
        <v>1477.3668919244</v>
      </c>
      <c r="FX27" s="1">
        <f t="shared" si="112"/>
        <v>1310.8961862443816</v>
      </c>
      <c r="FY27" s="1" t="e">
        <f t="shared" si="113"/>
        <v>#NUM!</v>
      </c>
      <c r="GA27" s="1">
        <f t="shared" si="114"/>
        <v>1410.9831379995417</v>
      </c>
      <c r="GC27" s="1">
        <f t="shared" si="128"/>
        <v>13.673876595046234</v>
      </c>
      <c r="GD27" s="1">
        <f t="shared" si="115"/>
        <v>-1.3261234049537656</v>
      </c>
      <c r="GE27" s="2">
        <f t="shared" si="116"/>
        <v>15</v>
      </c>
    </row>
    <row r="28" spans="1:187" ht="12.75">
      <c r="A28" s="1" t="s">
        <v>34</v>
      </c>
      <c r="B28" s="1" t="s">
        <v>35</v>
      </c>
      <c r="C28" s="23">
        <v>1.2</v>
      </c>
      <c r="D28" s="2">
        <v>1215</v>
      </c>
      <c r="F28" s="1">
        <v>4575</v>
      </c>
      <c r="G28" s="23">
        <v>51.3</v>
      </c>
      <c r="H28" s="23">
        <v>0.19</v>
      </c>
      <c r="I28" s="23">
        <v>7.2</v>
      </c>
      <c r="J28" s="23">
        <v>3.9</v>
      </c>
      <c r="K28" s="23">
        <v>0.09</v>
      </c>
      <c r="L28" s="23">
        <v>17.6</v>
      </c>
      <c r="M28" s="23">
        <v>19.1</v>
      </c>
      <c r="N28" s="23">
        <v>0.5</v>
      </c>
      <c r="O28" s="23">
        <v>0</v>
      </c>
      <c r="P28" s="23">
        <v>0.5</v>
      </c>
      <c r="R28" s="23">
        <v>52.9</v>
      </c>
      <c r="S28" s="23">
        <v>0.09</v>
      </c>
      <c r="T28" s="23">
        <v>6.9</v>
      </c>
      <c r="U28" s="23">
        <v>6.72</v>
      </c>
      <c r="V28" s="23">
        <v>0.12</v>
      </c>
      <c r="W28" s="23">
        <v>30.6</v>
      </c>
      <c r="X28" s="23">
        <v>1.63</v>
      </c>
      <c r="Y28" s="23">
        <v>0.07</v>
      </c>
      <c r="Z28" s="23">
        <v>0</v>
      </c>
      <c r="AA28" s="23">
        <v>0.5</v>
      </c>
      <c r="AC28" s="50">
        <f t="shared" si="117"/>
        <v>1173.9914339044033</v>
      </c>
      <c r="AD28" s="50">
        <f t="shared" si="118"/>
        <v>11.222267757663634</v>
      </c>
      <c r="AF28" s="27">
        <f t="shared" si="119"/>
        <v>1183.3463594752652</v>
      </c>
      <c r="AG28" s="27"/>
      <c r="AH28" s="27">
        <f t="shared" si="120"/>
        <v>1173.9914339154827</v>
      </c>
      <c r="AI28" s="27">
        <f t="shared" si="121"/>
        <v>1171.9061114115198</v>
      </c>
      <c r="AJ28" s="27">
        <f t="shared" si="122"/>
        <v>10.902806887369966</v>
      </c>
      <c r="AK28" s="27">
        <f t="shared" si="123"/>
        <v>11.222267757663634</v>
      </c>
      <c r="AL28" s="29">
        <f t="shared" si="124"/>
        <v>1154.2473874333136</v>
      </c>
      <c r="AM28" s="42">
        <f t="shared" si="125"/>
        <v>1.0090300324675323</v>
      </c>
      <c r="AN28" s="44"/>
      <c r="AO28" s="1">
        <f t="shared" si="126"/>
        <v>0.23131913898488254</v>
      </c>
      <c r="AQ28" s="1">
        <f t="shared" si="0"/>
        <v>0.8538004104233552</v>
      </c>
      <c r="AR28" s="1">
        <f t="shared" si="1"/>
        <v>0.002378603584430412</v>
      </c>
      <c r="AS28" s="1">
        <f t="shared" si="2"/>
        <v>0.07061523523700239</v>
      </c>
      <c r="AT28" s="1">
        <f t="shared" si="3"/>
        <v>0.05428246926777124</v>
      </c>
      <c r="AU28" s="1">
        <f t="shared" si="4"/>
        <v>0.0012687224669603525</v>
      </c>
      <c r="AV28" s="1">
        <f t="shared" si="5"/>
        <v>0.43667688887565625</v>
      </c>
      <c r="AW28" s="1">
        <f t="shared" si="6"/>
        <v>0.3406006697885423</v>
      </c>
      <c r="AX28" s="1">
        <f t="shared" si="7"/>
        <v>0.008067261600318818</v>
      </c>
      <c r="AY28" s="1">
        <f t="shared" si="8"/>
        <v>0</v>
      </c>
      <c r="AZ28" s="1">
        <f t="shared" si="9"/>
        <v>0.0032895126389654613</v>
      </c>
      <c r="BA28" s="1">
        <f t="shared" si="129"/>
        <v>1.7709797738830024</v>
      </c>
      <c r="BC28" s="15">
        <f t="shared" si="130"/>
        <v>1.7076008208467104</v>
      </c>
      <c r="BD28" s="15">
        <f t="shared" si="130"/>
        <v>0.004757207168860824</v>
      </c>
      <c r="BE28" s="15">
        <f t="shared" si="131"/>
        <v>0.21184570571100717</v>
      </c>
      <c r="BF28" s="15">
        <f t="shared" si="132"/>
        <v>0.05428246926777124</v>
      </c>
      <c r="BG28" s="15">
        <f t="shared" si="132"/>
        <v>0.0012687224669603525</v>
      </c>
      <c r="BH28" s="15">
        <f t="shared" si="132"/>
        <v>0.43667688887565625</v>
      </c>
      <c r="BI28" s="15">
        <f t="shared" si="133"/>
        <v>0.3406006697885423</v>
      </c>
      <c r="BJ28" s="15">
        <f t="shared" si="133"/>
        <v>0.008067261600318818</v>
      </c>
      <c r="BK28" s="15">
        <f t="shared" si="133"/>
        <v>0</v>
      </c>
      <c r="BL28" s="15">
        <f t="shared" si="134"/>
        <v>0.009868537916896384</v>
      </c>
      <c r="BM28" s="15">
        <f t="shared" si="135"/>
        <v>2.7749682836427234</v>
      </c>
      <c r="BN28" s="15">
        <f t="shared" si="136"/>
        <v>2.1621868744833908</v>
      </c>
      <c r="BP28" s="22">
        <f t="shared" si="17"/>
        <v>1.8460760408459107</v>
      </c>
      <c r="BQ28" s="22">
        <f t="shared" si="18"/>
        <v>0.0051429854498545825</v>
      </c>
      <c r="BR28" s="22">
        <f t="shared" si="137"/>
        <v>0.1539239591540893</v>
      </c>
      <c r="BS28" s="22">
        <f t="shared" si="138"/>
        <v>0.15144271038191787</v>
      </c>
      <c r="BT28" s="22">
        <f t="shared" si="21"/>
        <v>0.30536666953600716</v>
      </c>
      <c r="BU28" s="22">
        <f t="shared" si="22"/>
        <v>0.11736884256532301</v>
      </c>
      <c r="BV28" s="22">
        <f t="shared" si="23"/>
        <v>0.0027432150654238614</v>
      </c>
      <c r="BW28" s="22">
        <f t="shared" si="24"/>
        <v>0.9441770375171862</v>
      </c>
      <c r="BX28" s="22">
        <f t="shared" si="25"/>
        <v>0.7364422976570377</v>
      </c>
      <c r="BY28" s="22">
        <f t="shared" si="26"/>
        <v>0.03488585429046644</v>
      </c>
      <c r="BZ28" s="22">
        <f t="shared" si="27"/>
        <v>0</v>
      </c>
      <c r="CA28" s="22">
        <f t="shared" si="28"/>
        <v>0.014225082102836684</v>
      </c>
      <c r="CB28" s="15">
        <f t="shared" si="139"/>
        <v>4.006428025030046</v>
      </c>
      <c r="CC28" s="15">
        <f t="shared" si="140"/>
        <v>0.01285605006009203</v>
      </c>
      <c r="CD28" s="15">
        <f t="shared" si="141"/>
        <v>0.019253135181426018</v>
      </c>
      <c r="CE28" s="15">
        <f t="shared" si="142"/>
        <v>0.03488585429046644</v>
      </c>
      <c r="CF28" s="15">
        <f t="shared" si="143"/>
        <v>0.11655685609145142</v>
      </c>
      <c r="CG28" s="15">
        <f t="shared" si="144"/>
        <v>0.01868355153131894</v>
      </c>
      <c r="CH28" s="15">
        <f t="shared" si="145"/>
        <v>0.007112541051418342</v>
      </c>
      <c r="CI28" s="15">
        <f t="shared" si="146"/>
        <v>0.594089348982849</v>
      </c>
      <c r="CJ28" s="15">
        <f t="shared" si="147"/>
        <v>0.23372826554983012</v>
      </c>
      <c r="CK28" s="15">
        <f t="shared" si="148"/>
        <v>0.2073504862137057</v>
      </c>
      <c r="CL28" s="15">
        <f t="shared" si="149"/>
        <v>0.5270424399727343</v>
      </c>
      <c r="CM28" s="15">
        <f t="shared" si="150"/>
        <v>1.0050564174973342</v>
      </c>
      <c r="CN28" s="15">
        <f t="shared" si="151"/>
        <v>0.594089348982849</v>
      </c>
      <c r="CO28" s="15"/>
      <c r="CP28" s="1">
        <f t="shared" si="152"/>
        <v>0.9003396528571304</v>
      </c>
      <c r="CQ28" s="15">
        <f t="shared" si="153"/>
        <v>0.10451279250523099</v>
      </c>
      <c r="CR28" s="15">
        <f t="shared" si="154"/>
        <v>0.24243340607966524</v>
      </c>
      <c r="CS28" s="22">
        <f t="shared" si="155"/>
        <v>0.5671850452375549</v>
      </c>
      <c r="CT28" s="22">
        <f t="shared" si="156"/>
        <v>0.3527978603127151</v>
      </c>
      <c r="CU28" s="22">
        <f t="shared" si="127"/>
        <v>0.18814232343195597</v>
      </c>
      <c r="CV28" s="1">
        <f t="shared" si="47"/>
        <v>0.8804296629901655</v>
      </c>
      <c r="CW28" s="1">
        <f t="shared" si="48"/>
        <v>0.0011267069610459847</v>
      </c>
      <c r="CX28" s="1">
        <f t="shared" si="49"/>
        <v>0.06767293376879395</v>
      </c>
      <c r="CY28" s="1">
        <f t="shared" si="50"/>
        <v>0.09353287012292891</v>
      </c>
      <c r="CZ28" s="1">
        <f t="shared" si="51"/>
        <v>0.0016916299559471366</v>
      </c>
      <c r="DA28" s="1">
        <f t="shared" si="52"/>
        <v>0.7592223181588115</v>
      </c>
      <c r="DB28" s="1">
        <f t="shared" si="53"/>
        <v>0.029066968154729</v>
      </c>
      <c r="DC28" s="1">
        <f t="shared" si="54"/>
        <v>0.0011294166240446346</v>
      </c>
      <c r="DD28" s="1">
        <f t="shared" si="55"/>
        <v>0</v>
      </c>
      <c r="DE28" s="1">
        <f t="shared" si="56"/>
        <v>0.0032895126389654613</v>
      </c>
      <c r="DF28" s="1">
        <f t="shared" si="157"/>
        <v>1.8371620193754317</v>
      </c>
      <c r="DH28" s="15">
        <f t="shared" si="158"/>
        <v>1.760859325980331</v>
      </c>
      <c r="DI28" s="15">
        <f t="shared" si="158"/>
        <v>0.0022534139220919693</v>
      </c>
      <c r="DJ28" s="15">
        <f t="shared" si="159"/>
        <v>0.20301880130638184</v>
      </c>
      <c r="DK28" s="15">
        <f t="shared" si="160"/>
        <v>0.09353287012292891</v>
      </c>
      <c r="DL28" s="15">
        <f t="shared" si="160"/>
        <v>0.0016916299559471366</v>
      </c>
      <c r="DM28" s="15">
        <f t="shared" si="160"/>
        <v>0.7592223181588115</v>
      </c>
      <c r="DN28" s="15">
        <f t="shared" si="161"/>
        <v>0.029066968154729</v>
      </c>
      <c r="DO28" s="15">
        <f t="shared" si="161"/>
        <v>0.0011294166240446346</v>
      </c>
      <c r="DP28" s="15">
        <f t="shared" si="161"/>
        <v>0</v>
      </c>
      <c r="DQ28" s="15">
        <f t="shared" si="162"/>
        <v>0.009868537916896384</v>
      </c>
      <c r="DR28" s="15">
        <f t="shared" si="163"/>
        <v>2.8606432821421626</v>
      </c>
      <c r="DS28" s="15">
        <f t="shared" si="164"/>
        <v>2.0974303358463358</v>
      </c>
      <c r="DU28" s="22">
        <f t="shared" si="64"/>
        <v>1.846639883734539</v>
      </c>
      <c r="DV28" s="22">
        <f t="shared" si="65"/>
        <v>0.002363189359707084</v>
      </c>
      <c r="DW28" s="22">
        <f t="shared" si="165"/>
        <v>0.15336011626546098</v>
      </c>
      <c r="DX28" s="22">
        <f t="shared" si="166"/>
        <v>0.1305184121393157</v>
      </c>
      <c r="DY28" s="22">
        <f t="shared" si="68"/>
        <v>0.2838785284047767</v>
      </c>
      <c r="DZ28" s="22">
        <f t="shared" si="69"/>
        <v>0.1961786791946065</v>
      </c>
      <c r="EA28" s="22">
        <f t="shared" si="70"/>
        <v>0.003548075986629925</v>
      </c>
      <c r="EB28" s="22">
        <f t="shared" si="71"/>
        <v>1.5924159217578695</v>
      </c>
      <c r="EC28" s="22">
        <f t="shared" si="72"/>
        <v>0.060965940778807994</v>
      </c>
      <c r="ED28" s="22">
        <f t="shared" si="73"/>
        <v>0.004737745378160746</v>
      </c>
      <c r="EE28" s="22">
        <f t="shared" si="74"/>
        <v>0</v>
      </c>
      <c r="EF28" s="22">
        <f t="shared" si="75"/>
        <v>0.013799047198232188</v>
      </c>
      <c r="EG28" s="15">
        <f t="shared" si="167"/>
        <v>4.00452701179333</v>
      </c>
      <c r="EH28" s="15">
        <f t="shared" si="168"/>
        <v>0.009054023586659665</v>
      </c>
      <c r="EI28" s="15">
        <f t="shared" si="169"/>
        <v>0.013565682378962052</v>
      </c>
      <c r="EJ28" s="15">
        <f t="shared" si="170"/>
        <v>0.004737745378160746</v>
      </c>
      <c r="EK28" s="15">
        <f t="shared" si="171"/>
        <v>0.002363189359707084</v>
      </c>
      <c r="EL28" s="15">
        <f t="shared" si="172"/>
        <v>0.013799047198232188</v>
      </c>
      <c r="EM28" s="15">
        <f t="shared" si="173"/>
        <v>0.11198161956292277</v>
      </c>
      <c r="EN28" s="15">
        <f t="shared" si="174"/>
        <v>0.060965940778807994</v>
      </c>
      <c r="EO28" s="15">
        <f t="shared" si="175"/>
        <v>0.808415963618834</v>
      </c>
      <c r="EP28" s="15">
        <f t="shared" si="176"/>
        <v>0.718321408465406</v>
      </c>
      <c r="EQ28" s="15">
        <f t="shared" si="177"/>
        <v>0.054171543387904</v>
      </c>
      <c r="ER28" s="15">
        <f t="shared" si="178"/>
        <v>0.6322638334924514</v>
      </c>
      <c r="ES28" s="15">
        <f t="shared" si="179"/>
        <v>0.06357094784866121</v>
      </c>
      <c r="ET28" s="15">
        <f t="shared" si="180"/>
        <v>0.10515335136945293</v>
      </c>
      <c r="EU28" s="15">
        <f t="shared" si="181"/>
        <v>0.6566928110972653</v>
      </c>
      <c r="EV28" s="15">
        <f t="shared" si="182"/>
        <v>1.002263505896665</v>
      </c>
      <c r="EX28" s="1">
        <f t="shared" si="92"/>
        <v>1215</v>
      </c>
      <c r="EY28" s="1">
        <f t="shared" si="93"/>
        <v>12</v>
      </c>
      <c r="FA28" s="1">
        <f t="shared" si="183"/>
        <v>0.27715459740621723</v>
      </c>
      <c r="FB28" s="1">
        <f t="shared" si="184"/>
        <v>1282.3936199385191</v>
      </c>
      <c r="FD28" s="1">
        <f t="shared" si="185"/>
        <v>1188.8200400759429</v>
      </c>
      <c r="FE28" s="1">
        <f t="shared" si="186"/>
        <v>1036.9834117260182</v>
      </c>
      <c r="FF28" s="1">
        <f t="shared" si="187"/>
        <v>1298.3274405490622</v>
      </c>
      <c r="FG28" s="1">
        <f t="shared" si="188"/>
        <v>1140.9344884248544</v>
      </c>
      <c r="FH28" s="1">
        <f t="shared" si="189"/>
        <v>0.38343709261453374</v>
      </c>
      <c r="FI28" s="1">
        <f t="shared" si="190"/>
        <v>1498.6304294065917</v>
      </c>
      <c r="FJ28" s="1">
        <f t="shared" si="191"/>
        <v>1239.129937051101</v>
      </c>
      <c r="FL28" s="1">
        <f t="shared" si="192"/>
        <v>1341.064759969096</v>
      </c>
      <c r="FM28" s="1">
        <f t="shared" si="193"/>
        <v>1090.1080229700965</v>
      </c>
      <c r="FO28" s="1">
        <f t="shared" si="194"/>
        <v>30.993672692006243</v>
      </c>
      <c r="FP28" s="1">
        <f t="shared" si="195"/>
        <v>24.877586097204812</v>
      </c>
      <c r="FR28" s="1">
        <f t="shared" si="196"/>
        <v>25.96252</v>
      </c>
      <c r="FS28" s="1">
        <f t="shared" si="197"/>
        <v>31.402479999999997</v>
      </c>
      <c r="FT28" s="1">
        <f t="shared" si="198"/>
        <v>7.612000000000002</v>
      </c>
      <c r="FU28" s="1">
        <f t="shared" si="199"/>
        <v>1049.3632499492928</v>
      </c>
      <c r="FV28" s="1">
        <f t="shared" si="200"/>
        <v>1220.8975518998627</v>
      </c>
      <c r="FX28" s="1">
        <f t="shared" si="112"/>
        <v>1179.6863944400088</v>
      </c>
      <c r="FY28" s="1">
        <f t="shared" si="113"/>
        <v>1229.3246167894476</v>
      </c>
      <c r="GA28" s="1">
        <f t="shared" si="114"/>
        <v>1333.1416449928706</v>
      </c>
      <c r="GC28" s="1">
        <f t="shared" si="128"/>
        <v>10.902806887369966</v>
      </c>
      <c r="GD28" s="1">
        <f t="shared" si="115"/>
        <v>-1.097193112630034</v>
      </c>
      <c r="GE28" s="2">
        <f t="shared" si="116"/>
        <v>12</v>
      </c>
    </row>
    <row r="29" spans="1:187" ht="12.75">
      <c r="A29" s="1" t="s">
        <v>34</v>
      </c>
      <c r="B29" s="1" t="s">
        <v>36</v>
      </c>
      <c r="C29" s="23">
        <v>1.2</v>
      </c>
      <c r="D29" s="2">
        <v>1245</v>
      </c>
      <c r="F29" s="1">
        <v>4573</v>
      </c>
      <c r="G29" s="23">
        <v>52.4</v>
      </c>
      <c r="H29" s="23">
        <v>0.14</v>
      </c>
      <c r="I29" s="23">
        <v>6</v>
      </c>
      <c r="J29" s="23">
        <v>4.1</v>
      </c>
      <c r="K29" s="23">
        <v>0.08</v>
      </c>
      <c r="L29" s="23">
        <v>19.4</v>
      </c>
      <c r="M29" s="23">
        <v>17.6</v>
      </c>
      <c r="N29" s="23">
        <v>0.49</v>
      </c>
      <c r="O29" s="23">
        <v>0</v>
      </c>
      <c r="P29" s="23">
        <v>0.9</v>
      </c>
      <c r="R29" s="23">
        <v>55</v>
      </c>
      <c r="S29" s="23">
        <v>0.09</v>
      </c>
      <c r="T29" s="23">
        <v>6</v>
      </c>
      <c r="U29" s="23">
        <v>6.4</v>
      </c>
      <c r="V29" s="23">
        <v>0.13</v>
      </c>
      <c r="W29" s="23">
        <v>31.2</v>
      </c>
      <c r="X29" s="23">
        <v>1.7</v>
      </c>
      <c r="Y29" s="23">
        <v>0.05</v>
      </c>
      <c r="Z29" s="23">
        <v>0</v>
      </c>
      <c r="AA29" s="23">
        <v>0.8</v>
      </c>
      <c r="AC29" s="50">
        <f t="shared" si="117"/>
        <v>1235.1931923620207</v>
      </c>
      <c r="AD29" s="50">
        <f t="shared" si="118"/>
        <v>11.463227276301108</v>
      </c>
      <c r="AF29" s="27">
        <f t="shared" si="119"/>
        <v>1248.5851541544152</v>
      </c>
      <c r="AG29" s="27"/>
      <c r="AH29" s="27">
        <f t="shared" si="120"/>
        <v>1235.1931924475257</v>
      </c>
      <c r="AI29" s="27">
        <f t="shared" si="121"/>
        <v>1234.9607843285967</v>
      </c>
      <c r="AJ29" s="27">
        <f t="shared" si="122"/>
        <v>11.002318315030385</v>
      </c>
      <c r="AK29" s="27">
        <f t="shared" si="123"/>
        <v>11.463227276301108</v>
      </c>
      <c r="AL29" s="29">
        <f t="shared" si="124"/>
        <v>1219.2327968652846</v>
      </c>
      <c r="AM29" s="42">
        <f t="shared" si="125"/>
        <v>1.030283505154639</v>
      </c>
      <c r="AN29" s="44"/>
      <c r="AO29" s="1">
        <f t="shared" si="126"/>
        <v>0.18966962722075112</v>
      </c>
      <c r="AQ29" s="1">
        <f t="shared" si="0"/>
        <v>0.8721080215630372</v>
      </c>
      <c r="AR29" s="1">
        <f t="shared" si="1"/>
        <v>0.0017526552727381987</v>
      </c>
      <c r="AS29" s="1">
        <f t="shared" si="2"/>
        <v>0.058846029364168655</v>
      </c>
      <c r="AT29" s="1">
        <f t="shared" si="3"/>
        <v>0.057066185640477454</v>
      </c>
      <c r="AU29" s="1">
        <f t="shared" si="4"/>
        <v>0.0011277533039647577</v>
      </c>
      <c r="AV29" s="1">
        <f t="shared" si="5"/>
        <v>0.48133702523793925</v>
      </c>
      <c r="AW29" s="1">
        <f t="shared" si="6"/>
        <v>0.31385192608787144</v>
      </c>
      <c r="AX29" s="1">
        <f t="shared" si="7"/>
        <v>0.007905916368312442</v>
      </c>
      <c r="AY29" s="1">
        <f t="shared" si="8"/>
        <v>0</v>
      </c>
      <c r="AZ29" s="1">
        <f t="shared" si="9"/>
        <v>0.005921122750137831</v>
      </c>
      <c r="BA29" s="1">
        <f t="shared" si="129"/>
        <v>1.7999166355886471</v>
      </c>
      <c r="BC29" s="15">
        <f t="shared" si="130"/>
        <v>1.7442160431260745</v>
      </c>
      <c r="BD29" s="15">
        <f t="shared" si="130"/>
        <v>0.0035053105454763973</v>
      </c>
      <c r="BE29" s="15">
        <f t="shared" si="131"/>
        <v>0.17653808809250596</v>
      </c>
      <c r="BF29" s="15">
        <f t="shared" si="132"/>
        <v>0.057066185640477454</v>
      </c>
      <c r="BG29" s="15">
        <f t="shared" si="132"/>
        <v>0.0011277533039647577</v>
      </c>
      <c r="BH29" s="15">
        <f t="shared" si="132"/>
        <v>0.48133702523793925</v>
      </c>
      <c r="BI29" s="15">
        <f t="shared" si="133"/>
        <v>0.31385192608787144</v>
      </c>
      <c r="BJ29" s="15">
        <f t="shared" si="133"/>
        <v>0.007905916368312442</v>
      </c>
      <c r="BK29" s="15">
        <f t="shared" si="133"/>
        <v>0</v>
      </c>
      <c r="BL29" s="15">
        <f t="shared" si="134"/>
        <v>0.017763368250413494</v>
      </c>
      <c r="BM29" s="15">
        <f t="shared" si="135"/>
        <v>2.803311616653036</v>
      </c>
      <c r="BN29" s="15">
        <f t="shared" si="136"/>
        <v>2.1403257363031205</v>
      </c>
      <c r="BP29" s="22">
        <f t="shared" si="17"/>
        <v>1.8665952433877653</v>
      </c>
      <c r="BQ29" s="22">
        <f t="shared" si="18"/>
        <v>0.0037512531871089316</v>
      </c>
      <c r="BR29" s="22">
        <f t="shared" si="137"/>
        <v>0.13340475661223472</v>
      </c>
      <c r="BS29" s="22">
        <f t="shared" si="138"/>
        <v>0.11849458564252391</v>
      </c>
      <c r="BT29" s="22">
        <f t="shared" si="21"/>
        <v>0.25189934225475863</v>
      </c>
      <c r="BU29" s="22">
        <f t="shared" si="22"/>
        <v>0.12214022579896547</v>
      </c>
      <c r="BV29" s="22">
        <f t="shared" si="23"/>
        <v>0.002413759420676647</v>
      </c>
      <c r="BW29" s="22">
        <f t="shared" si="24"/>
        <v>1.030218022952346</v>
      </c>
      <c r="BX29" s="22">
        <f t="shared" si="25"/>
        <v>0.671745354794176</v>
      </c>
      <c r="BY29" s="22">
        <f t="shared" si="26"/>
        <v>0.03384247254431844</v>
      </c>
      <c r="BZ29" s="22">
        <f t="shared" si="27"/>
        <v>0</v>
      </c>
      <c r="CA29" s="22">
        <f t="shared" si="28"/>
        <v>0.025346262819859824</v>
      </c>
      <c r="CB29" s="15">
        <f t="shared" si="139"/>
        <v>4.007951937159976</v>
      </c>
      <c r="CC29" s="15">
        <f t="shared" si="140"/>
        <v>0.01590387431995156</v>
      </c>
      <c r="CD29" s="15">
        <f t="shared" si="141"/>
        <v>0.023808480594535553</v>
      </c>
      <c r="CE29" s="15">
        <f t="shared" si="142"/>
        <v>0.03384247254431844</v>
      </c>
      <c r="CF29" s="15">
        <f t="shared" si="143"/>
        <v>0.08465211309820547</v>
      </c>
      <c r="CG29" s="15">
        <f t="shared" si="144"/>
        <v>0.024376321757014624</v>
      </c>
      <c r="CH29" s="15">
        <f t="shared" si="145"/>
        <v>0.012673131409929912</v>
      </c>
      <c r="CI29" s="15">
        <f t="shared" si="146"/>
        <v>0.550043788529026</v>
      </c>
      <c r="CJ29" s="15">
        <f t="shared" si="147"/>
        <v>0.30115723011114276</v>
      </c>
      <c r="CK29" s="15">
        <f t="shared" si="148"/>
        <v>0.2686743391832351</v>
      </c>
      <c r="CL29" s="15">
        <f t="shared" si="149"/>
        <v>0.49071593383409595</v>
      </c>
      <c r="CM29" s="15">
        <f t="shared" si="150"/>
        <v>1.0067450574496373</v>
      </c>
      <c r="CN29" s="15">
        <f t="shared" si="151"/>
        <v>0.5500437885290259</v>
      </c>
      <c r="CO29" s="15"/>
      <c r="CP29" s="1">
        <f t="shared" si="152"/>
        <v>0.9065194750716054</v>
      </c>
      <c r="CQ29" s="15">
        <f t="shared" si="153"/>
        <v>0.1062363514790139</v>
      </c>
      <c r="CR29" s="15">
        <f t="shared" si="154"/>
        <v>0.2841338395602517</v>
      </c>
      <c r="CS29" s="22">
        <f t="shared" si="155"/>
        <v>0.5263518332234477</v>
      </c>
      <c r="CT29" s="22">
        <f t="shared" si="156"/>
        <v>0.4014543777128443</v>
      </c>
      <c r="CU29" s="22">
        <f t="shared" si="127"/>
        <v>0.24861811425106445</v>
      </c>
      <c r="CV29" s="1">
        <f t="shared" si="47"/>
        <v>0.915380556984104</v>
      </c>
      <c r="CW29" s="1">
        <f t="shared" si="48"/>
        <v>0.0011267069610459847</v>
      </c>
      <c r="CX29" s="1">
        <f t="shared" si="49"/>
        <v>0.058846029364168655</v>
      </c>
      <c r="CY29" s="1">
        <f t="shared" si="50"/>
        <v>0.08907892392659897</v>
      </c>
      <c r="CZ29" s="1">
        <f t="shared" si="51"/>
        <v>0.0018325991189427314</v>
      </c>
      <c r="DA29" s="1">
        <f t="shared" si="52"/>
        <v>0.7741090302795725</v>
      </c>
      <c r="DB29" s="1">
        <f t="shared" si="53"/>
        <v>0.030315242860760306</v>
      </c>
      <c r="DC29" s="1">
        <f t="shared" si="54"/>
        <v>0.0008067261600318819</v>
      </c>
      <c r="DD29" s="1">
        <f t="shared" si="55"/>
        <v>0</v>
      </c>
      <c r="DE29" s="1">
        <f t="shared" si="56"/>
        <v>0.005263220222344739</v>
      </c>
      <c r="DF29" s="1">
        <f t="shared" si="157"/>
        <v>1.8767590358775699</v>
      </c>
      <c r="DH29" s="15">
        <f t="shared" si="158"/>
        <v>1.830761113968208</v>
      </c>
      <c r="DI29" s="15">
        <f t="shared" si="158"/>
        <v>0.0022534139220919693</v>
      </c>
      <c r="DJ29" s="15">
        <f t="shared" si="159"/>
        <v>0.17653808809250596</v>
      </c>
      <c r="DK29" s="15">
        <f t="shared" si="160"/>
        <v>0.08907892392659897</v>
      </c>
      <c r="DL29" s="15">
        <f t="shared" si="160"/>
        <v>0.0018325991189427314</v>
      </c>
      <c r="DM29" s="15">
        <f t="shared" si="160"/>
        <v>0.7741090302795725</v>
      </c>
      <c r="DN29" s="15">
        <f t="shared" si="161"/>
        <v>0.030315242860760306</v>
      </c>
      <c r="DO29" s="15">
        <f t="shared" si="161"/>
        <v>0.0008067261600318819</v>
      </c>
      <c r="DP29" s="15">
        <f t="shared" si="161"/>
        <v>0</v>
      </c>
      <c r="DQ29" s="15">
        <f t="shared" si="162"/>
        <v>0.015789660667034217</v>
      </c>
      <c r="DR29" s="15">
        <f t="shared" si="163"/>
        <v>2.9214847989957464</v>
      </c>
      <c r="DS29" s="15">
        <f t="shared" si="164"/>
        <v>2.0537502033426587</v>
      </c>
      <c r="DU29" s="22">
        <f t="shared" si="64"/>
        <v>1.8799630050420197</v>
      </c>
      <c r="DV29" s="22">
        <f t="shared" si="65"/>
        <v>0.00231397465035578</v>
      </c>
      <c r="DW29" s="22">
        <f t="shared" si="165"/>
        <v>0.12003699495798026</v>
      </c>
      <c r="DX29" s="22">
        <f t="shared" si="166"/>
        <v>0.12167309458715861</v>
      </c>
      <c r="DY29" s="22">
        <f t="shared" si="68"/>
        <v>0.24171008954513887</v>
      </c>
      <c r="DZ29" s="22">
        <f t="shared" si="69"/>
        <v>0.18294585812779784</v>
      </c>
      <c r="EA29" s="22">
        <f t="shared" si="70"/>
        <v>0.0037637008131742116</v>
      </c>
      <c r="EB29" s="22">
        <f t="shared" si="71"/>
        <v>1.5898265783460603</v>
      </c>
      <c r="EC29" s="22">
        <f t="shared" si="72"/>
        <v>0.06225993618966856</v>
      </c>
      <c r="ED29" s="22">
        <f t="shared" si="73"/>
        <v>0.003313628030414639</v>
      </c>
      <c r="EE29" s="22">
        <f t="shared" si="74"/>
        <v>0</v>
      </c>
      <c r="EF29" s="22">
        <f t="shared" si="75"/>
        <v>0.0216186792037554</v>
      </c>
      <c r="EG29" s="15">
        <f t="shared" si="167"/>
        <v>3.987715449948386</v>
      </c>
      <c r="EH29" s="15">
        <f t="shared" si="168"/>
        <v>0</v>
      </c>
      <c r="EI29" s="15">
        <f t="shared" si="169"/>
        <v>-0.03696718145254785</v>
      </c>
      <c r="EJ29" s="15">
        <f t="shared" si="170"/>
        <v>0.003313628030414639</v>
      </c>
      <c r="EK29" s="15">
        <f t="shared" si="171"/>
        <v>0.00231397465035578</v>
      </c>
      <c r="EL29" s="15">
        <f t="shared" si="172"/>
        <v>0.0216186792037554</v>
      </c>
      <c r="EM29" s="15">
        <f t="shared" si="173"/>
        <v>0.09674078735298856</v>
      </c>
      <c r="EN29" s="15">
        <f t="shared" si="174"/>
        <v>0.06225993618966856</v>
      </c>
      <c r="EO29" s="15">
        <f t="shared" si="175"/>
        <v>0.8076107195470097</v>
      </c>
      <c r="EP29" s="15">
        <f t="shared" si="176"/>
        <v>0.7227328281955316</v>
      </c>
      <c r="EQ29" s="15">
        <f t="shared" si="177"/>
        <v>0.05571657071475173</v>
      </c>
      <c r="ER29" s="15">
        <f t="shared" si="178"/>
        <v>0.640664914785542</v>
      </c>
      <c r="ES29" s="15">
        <f t="shared" si="179"/>
        <v>0.06514429882651261</v>
      </c>
      <c r="ET29" s="15">
        <f t="shared" si="180"/>
        <v>0.10319759849813956</v>
      </c>
      <c r="EU29" s="15">
        <f t="shared" si="181"/>
        <v>0.6731182594681938</v>
      </c>
      <c r="EV29" s="15">
        <f t="shared" si="182"/>
        <v>0.9938577249741927</v>
      </c>
      <c r="EX29" s="1">
        <f t="shared" si="92"/>
        <v>1245</v>
      </c>
      <c r="EY29" s="1">
        <f t="shared" si="93"/>
        <v>12</v>
      </c>
      <c r="FA29" s="1">
        <f t="shared" si="183"/>
        <v>0.3480201274309623</v>
      </c>
      <c r="FB29" s="1">
        <f t="shared" si="184"/>
        <v>1347.952057703375</v>
      </c>
      <c r="FD29" s="1">
        <f t="shared" si="185"/>
        <v>1297.0363218173247</v>
      </c>
      <c r="FE29" s="1">
        <f t="shared" si="186"/>
        <v>1146.4780446717275</v>
      </c>
      <c r="FF29" s="1">
        <f t="shared" si="187"/>
        <v>1299.7750585808517</v>
      </c>
      <c r="FG29" s="1">
        <f t="shared" si="188"/>
        <v>1155.489707923752</v>
      </c>
      <c r="FH29" s="1">
        <f t="shared" si="189"/>
        <v>0.44349836084806277</v>
      </c>
      <c r="FI29" s="1">
        <f t="shared" si="190"/>
        <v>1597.0353415289983</v>
      </c>
      <c r="FJ29" s="1">
        <f t="shared" si="191"/>
        <v>1272.0212843530107</v>
      </c>
      <c r="FL29" s="1">
        <f t="shared" si="192"/>
        <v>1382.6957816584627</v>
      </c>
      <c r="FM29" s="1">
        <f t="shared" si="193"/>
        <v>1056.221018275809</v>
      </c>
      <c r="FO29" s="1">
        <f t="shared" si="194"/>
        <v>42.465280149333246</v>
      </c>
      <c r="FP29" s="1">
        <f t="shared" si="195"/>
        <v>32.7948884830776</v>
      </c>
      <c r="FR29" s="1">
        <f t="shared" si="196"/>
        <v>25.96252</v>
      </c>
      <c r="FS29" s="1">
        <f t="shared" si="197"/>
        <v>31.402479999999997</v>
      </c>
      <c r="FT29" s="1">
        <f t="shared" si="198"/>
        <v>7.612000000000002</v>
      </c>
      <c r="FU29" s="1">
        <f t="shared" si="199"/>
        <v>1096.5278643617794</v>
      </c>
      <c r="FV29" s="1">
        <f t="shared" si="200"/>
        <v>1239.7624497892057</v>
      </c>
      <c r="FX29" s="1">
        <f t="shared" si="112"/>
        <v>1186.291875130482</v>
      </c>
      <c r="FY29" s="1">
        <f t="shared" si="113"/>
        <v>1145.0552256275755</v>
      </c>
      <c r="GA29" s="1">
        <f t="shared" si="114"/>
        <v>1387.761091423029</v>
      </c>
      <c r="GC29" s="1">
        <f t="shared" si="128"/>
        <v>11.002318315030385</v>
      </c>
      <c r="GD29" s="1">
        <f t="shared" si="115"/>
        <v>-0.9976816849696153</v>
      </c>
      <c r="GE29" s="2">
        <f t="shared" si="116"/>
        <v>12</v>
      </c>
    </row>
    <row r="30" spans="1:187" ht="12.75">
      <c r="A30" s="1" t="s">
        <v>17</v>
      </c>
      <c r="B30" s="1" t="s">
        <v>18</v>
      </c>
      <c r="C30" s="23">
        <v>1.9</v>
      </c>
      <c r="D30" s="2">
        <v>1416</v>
      </c>
      <c r="F30" s="1">
        <v>5120</v>
      </c>
      <c r="G30" s="23">
        <v>52</v>
      </c>
      <c r="H30" s="23">
        <v>0.14</v>
      </c>
      <c r="I30" s="23">
        <v>9.39</v>
      </c>
      <c r="J30" s="23">
        <v>4.89</v>
      </c>
      <c r="K30" s="23">
        <v>0.06</v>
      </c>
      <c r="L30" s="23">
        <v>20.8</v>
      </c>
      <c r="M30" s="23">
        <v>13.3</v>
      </c>
      <c r="N30" s="23">
        <v>0.69</v>
      </c>
      <c r="O30" s="23">
        <v>0</v>
      </c>
      <c r="P30" s="23">
        <v>0.09</v>
      </c>
      <c r="R30" s="23">
        <v>54</v>
      </c>
      <c r="S30" s="23">
        <v>0.06</v>
      </c>
      <c r="T30" s="23">
        <v>8.26</v>
      </c>
      <c r="U30" s="23">
        <v>6.13</v>
      </c>
      <c r="V30" s="23">
        <v>0.04</v>
      </c>
      <c r="W30" s="23">
        <v>30.5</v>
      </c>
      <c r="X30" s="23">
        <v>2.18</v>
      </c>
      <c r="Y30" s="23">
        <v>0.15</v>
      </c>
      <c r="Z30" s="23">
        <v>0</v>
      </c>
      <c r="AA30" s="23">
        <v>0.06</v>
      </c>
      <c r="AC30" s="50">
        <f t="shared" si="117"/>
        <v>1360.1718262103311</v>
      </c>
      <c r="AD30" s="50">
        <f t="shared" si="118"/>
        <v>19.198905440009163</v>
      </c>
      <c r="AF30" s="27">
        <f t="shared" si="119"/>
        <v>1356.2664349906759</v>
      </c>
      <c r="AG30" s="27"/>
      <c r="AH30" s="27">
        <f t="shared" si="120"/>
        <v>1360.171830088334</v>
      </c>
      <c r="AI30" s="27">
        <f t="shared" si="121"/>
        <v>1363.9770534897593</v>
      </c>
      <c r="AJ30" s="27">
        <f t="shared" si="122"/>
        <v>18.305994226412565</v>
      </c>
      <c r="AK30" s="27">
        <f t="shared" si="123"/>
        <v>19.198905440009163</v>
      </c>
      <c r="AL30" s="29">
        <f t="shared" si="124"/>
        <v>1376.7057551909268</v>
      </c>
      <c r="AM30" s="42">
        <f t="shared" si="125"/>
        <v>1.1697280085330657</v>
      </c>
      <c r="AN30" s="44"/>
      <c r="AO30" s="1">
        <f t="shared" si="126"/>
        <v>0.15938891250725312</v>
      </c>
      <c r="AQ30" s="1">
        <f t="shared" si="0"/>
        <v>0.8654507084213348</v>
      </c>
      <c r="AR30" s="1">
        <f t="shared" si="1"/>
        <v>0.0017526552727381987</v>
      </c>
      <c r="AS30" s="1">
        <f t="shared" si="2"/>
        <v>0.09209403595492395</v>
      </c>
      <c r="AT30" s="1">
        <f t="shared" si="3"/>
        <v>0.06806186531266702</v>
      </c>
      <c r="AU30" s="1">
        <f t="shared" si="4"/>
        <v>0.0008458149779735683</v>
      </c>
      <c r="AV30" s="1">
        <f t="shared" si="5"/>
        <v>0.5160726868530483</v>
      </c>
      <c r="AW30" s="1">
        <f t="shared" si="6"/>
        <v>0.2371721941459483</v>
      </c>
      <c r="AX30" s="1">
        <f t="shared" si="7"/>
        <v>0.011132821008439969</v>
      </c>
      <c r="AY30" s="1">
        <f t="shared" si="8"/>
        <v>0</v>
      </c>
      <c r="AZ30" s="1">
        <f t="shared" si="9"/>
        <v>0.000592112275013783</v>
      </c>
      <c r="BA30" s="1">
        <f aca="true" t="shared" si="201" ref="BA30:BA39">SUM(AQ30:AZ30)</f>
        <v>1.793174894222088</v>
      </c>
      <c r="BC30" s="15">
        <f aca="true" t="shared" si="202" ref="BC30:BD33">AQ30*2</f>
        <v>1.7309014168426695</v>
      </c>
      <c r="BD30" s="15">
        <f t="shared" si="202"/>
        <v>0.0035053105454763973</v>
      </c>
      <c r="BE30" s="15">
        <f aca="true" t="shared" si="203" ref="BE30:BE39">AS30*3</f>
        <v>0.27628210786477186</v>
      </c>
      <c r="BF30" s="15">
        <f aca="true" t="shared" si="204" ref="BF30:BH36">AT30</f>
        <v>0.06806186531266702</v>
      </c>
      <c r="BG30" s="15">
        <f t="shared" si="204"/>
        <v>0.0008458149779735683</v>
      </c>
      <c r="BH30" s="15">
        <f t="shared" si="204"/>
        <v>0.5160726868530483</v>
      </c>
      <c r="BI30" s="15">
        <f aca="true" t="shared" si="205" ref="BI30:BK36">AW30</f>
        <v>0.2371721941459483</v>
      </c>
      <c r="BJ30" s="15">
        <f t="shared" si="205"/>
        <v>0.011132821008439969</v>
      </c>
      <c r="BK30" s="15">
        <f t="shared" si="205"/>
        <v>0</v>
      </c>
      <c r="BL30" s="15">
        <f aca="true" t="shared" si="206" ref="BL30:BL39">AZ30*3</f>
        <v>0.001776336825041349</v>
      </c>
      <c r="BM30" s="15">
        <f aca="true" t="shared" si="207" ref="BM30:BM39">SUM(BC30:BL30)</f>
        <v>2.8457505543760355</v>
      </c>
      <c r="BN30" s="15">
        <f aca="true" t="shared" si="208" ref="BN30:BN39">6/BM30</f>
        <v>2.1084068632697046</v>
      </c>
      <c r="BP30" s="22">
        <f t="shared" si="17"/>
        <v>1.8247222134571701</v>
      </c>
      <c r="BQ30" s="22">
        <f t="shared" si="18"/>
        <v>0.003695310405987054</v>
      </c>
      <c r="BR30" s="22">
        <f aca="true" t="shared" si="209" ref="BR30:BR39">2-BP30</f>
        <v>0.17527778654282988</v>
      </c>
      <c r="BS30" s="22">
        <f aca="true" t="shared" si="210" ref="BS30:BS39">IF(BT30-BR30&lt;0,0,BT30-BR30)</f>
        <v>0.21306560840430733</v>
      </c>
      <c r="BT30" s="22">
        <f t="shared" si="21"/>
        <v>0.3883433949471372</v>
      </c>
      <c r="BU30" s="22">
        <f t="shared" si="22"/>
        <v>0.14350210395216537</v>
      </c>
      <c r="BV30" s="22">
        <f t="shared" si="23"/>
        <v>0.0017833221046157854</v>
      </c>
      <c r="BW30" s="22">
        <f t="shared" si="24"/>
        <v>1.088091194907004</v>
      </c>
      <c r="BX30" s="22">
        <f t="shared" si="25"/>
        <v>0.5000554819140522</v>
      </c>
      <c r="BY30" s="22">
        <f t="shared" si="26"/>
        <v>0.04694503244349597</v>
      </c>
      <c r="BZ30" s="22">
        <f t="shared" si="27"/>
        <v>0</v>
      </c>
      <c r="CA30" s="22">
        <f t="shared" si="28"/>
        <v>0.002496827168930598</v>
      </c>
      <c r="CB30" s="15">
        <f aca="true" t="shared" si="211" ref="CB30:CB39">BP30+BQ30+BT30+BU30+BV30+BW30+BX30+BY30+BZ30+CA30</f>
        <v>3.999634881300558</v>
      </c>
      <c r="CC30" s="15">
        <f aca="true" t="shared" si="212" ref="CC30:CC39">IF(BY30+BR30-BS30-2*BQ30-CA30&gt;0,BY30+BR30-BS30-2*BQ30-CA30,0)</f>
        <v>0</v>
      </c>
      <c r="CD30" s="15">
        <f aca="true" t="shared" si="213" ref="CD30:CD39">12-48/CB30</f>
        <v>-0.001095456091201541</v>
      </c>
      <c r="CE30" s="15">
        <f aca="true" t="shared" si="214" ref="CE30:CE39">IF(BY30&lt;BS30,BY30,BS30)</f>
        <v>0.04694503244349597</v>
      </c>
      <c r="CF30" s="15">
        <f aca="true" t="shared" si="215" ref="CF30:CF39">IF(BS30&gt;BY30,BS30-BY30,0)</f>
        <v>0.16612057596081137</v>
      </c>
      <c r="CG30" s="15">
        <f aca="true" t="shared" si="216" ref="CG30:CG39">IF(BR30&gt;CF30,(BR30-CF30)/2,0)</f>
        <v>0.004578605291009258</v>
      </c>
      <c r="CH30" s="15">
        <f aca="true" t="shared" si="217" ref="CH30:CH39">CA30/2</f>
        <v>0.001248413584465299</v>
      </c>
      <c r="CI30" s="15">
        <f aca="true" t="shared" si="218" ref="CI30:CI39">IF(BX30-CG30-CF30-CH30&gt;0,BX30-CG30-CF30-CH30,0)</f>
        <v>0.3281078870777663</v>
      </c>
      <c r="CJ30" s="15">
        <f aca="true" t="shared" si="219" ref="CJ30:CJ39">((BU30+BW30)-CI30)/2</f>
        <v>0.45174270589070153</v>
      </c>
      <c r="CK30" s="15">
        <f aca="true" t="shared" si="220" ref="CK30:CK39">CJ30*(BW30/(BW30+BV30+BU30))</f>
        <v>0.3985297372176876</v>
      </c>
      <c r="CL30" s="15">
        <f aca="true" t="shared" si="221" ref="CL30:CL39">CN30*(BW30/(BW30+BV30+BU30))</f>
        <v>0.2894584645441742</v>
      </c>
      <c r="CM30" s="15">
        <f aca="true" t="shared" si="222" ref="CM30:CM39">SUM(CE30:CJ30)</f>
        <v>0.9987432202482497</v>
      </c>
      <c r="CN30" s="15">
        <f aca="true" t="shared" si="223" ref="CN30:CN39">BX30-CF30-CG30-CH30</f>
        <v>0.32810788707776634</v>
      </c>
      <c r="CO30" s="15"/>
      <c r="CP30" s="1">
        <f aca="true" t="shared" si="224" ref="CP30:CP39">BW30/(BW30+CQ30)</f>
        <v>0.8834825554141192</v>
      </c>
      <c r="CQ30" s="15">
        <f aca="true" t="shared" si="225" ref="CQ30:CQ39">BU30-CC30</f>
        <v>0.14350210395216537</v>
      </c>
      <c r="CR30" s="15">
        <f aca="true" t="shared" si="226" ref="CR30:CR39">(0.5*BW30/(BX30+0.5*BW30+0.5*(BU30-CC30)+BV30+BY30))*((0.5*BW30)/(CC30+0.5*(BU30-CC30)+BS30+BQ30+CA30+0.5*BW30))</f>
        <v>0.30435912403004656</v>
      </c>
      <c r="CS30" s="22">
        <f aca="true" t="shared" si="227" ref="CS30:CS39">BX30/(BX30+0.5*BW30+0.5*(BU30-CC30)+BV30+BY30)</f>
        <v>0.4293867946199933</v>
      </c>
      <c r="CT30" s="22">
        <f aca="true" t="shared" si="228" ref="CT30:CT39">(BW30/(BX30+BW30+BU30-CC30+BV30+BY30))*(BW30/(BU30+BT30+BQ30+CA30+BW30))</f>
        <v>0.4089438051183542</v>
      </c>
      <c r="CU30" s="22">
        <f t="shared" si="127"/>
        <v>0.3538412380737857</v>
      </c>
      <c r="CV30" s="1">
        <f t="shared" si="47"/>
        <v>0.8987372741298476</v>
      </c>
      <c r="CW30" s="1">
        <f t="shared" si="48"/>
        <v>0.0007511379740306564</v>
      </c>
      <c r="CX30" s="1">
        <f t="shared" si="49"/>
        <v>0.08101136709133884</v>
      </c>
      <c r="CY30" s="1">
        <f t="shared" si="50"/>
        <v>0.08532090682344556</v>
      </c>
      <c r="CZ30" s="1">
        <f t="shared" si="51"/>
        <v>0.0005638766519823788</v>
      </c>
      <c r="DA30" s="1">
        <f t="shared" si="52"/>
        <v>0.7567411994720179</v>
      </c>
      <c r="DB30" s="1">
        <f t="shared" si="53"/>
        <v>0.03887484084497499</v>
      </c>
      <c r="DC30" s="1">
        <f t="shared" si="54"/>
        <v>0.0024201784800956454</v>
      </c>
      <c r="DD30" s="1">
        <f t="shared" si="55"/>
        <v>0</v>
      </c>
      <c r="DE30" s="1">
        <f t="shared" si="56"/>
        <v>0.00039474151667585536</v>
      </c>
      <c r="DF30" s="1">
        <f aca="true" t="shared" si="229" ref="DF30:DF39">SUM(CV30:DE30)</f>
        <v>1.8648155229844097</v>
      </c>
      <c r="DH30" s="15">
        <f aca="true" t="shared" si="230" ref="DH30:DI33">CV30*2</f>
        <v>1.7974745482596952</v>
      </c>
      <c r="DI30" s="15">
        <f t="shared" si="230"/>
        <v>0.0015022759480613128</v>
      </c>
      <c r="DJ30" s="15">
        <f aca="true" t="shared" si="231" ref="DJ30:DJ39">CX30*3</f>
        <v>0.24303410127401653</v>
      </c>
      <c r="DK30" s="15">
        <f aca="true" t="shared" si="232" ref="DK30:DM36">CY30</f>
        <v>0.08532090682344556</v>
      </c>
      <c r="DL30" s="15">
        <f t="shared" si="232"/>
        <v>0.0005638766519823788</v>
      </c>
      <c r="DM30" s="15">
        <f t="shared" si="232"/>
        <v>0.7567411994720179</v>
      </c>
      <c r="DN30" s="15">
        <f aca="true" t="shared" si="233" ref="DN30:DP36">DB30</f>
        <v>0.03887484084497499</v>
      </c>
      <c r="DO30" s="15">
        <f t="shared" si="233"/>
        <v>0.0024201784800956454</v>
      </c>
      <c r="DP30" s="15">
        <f t="shared" si="233"/>
        <v>0</v>
      </c>
      <c r="DQ30" s="15">
        <f aca="true" t="shared" si="234" ref="DQ30:DQ39">DE30*3</f>
        <v>0.001184224550027566</v>
      </c>
      <c r="DR30" s="15">
        <f aca="true" t="shared" si="235" ref="DR30:DR39">SUM(DH30:DQ30)</f>
        <v>2.927116152304317</v>
      </c>
      <c r="DS30" s="15">
        <f aca="true" t="shared" si="236" ref="DS30:DS39">6/DR30</f>
        <v>2.049799081350637</v>
      </c>
      <c r="DU30" s="22">
        <f t="shared" si="64"/>
        <v>1.8422308388869373</v>
      </c>
      <c r="DV30" s="22">
        <f t="shared" si="65"/>
        <v>0.001539681929135618</v>
      </c>
      <c r="DW30" s="22">
        <f aca="true" t="shared" si="237" ref="DW30:DW39">2-DU30</f>
        <v>0.15776916111306272</v>
      </c>
      <c r="DX30" s="22">
        <f aca="true" t="shared" si="238" ref="DX30:DX39">IF(DY30-DW30&lt;0,0,DY30-DW30)</f>
        <v>0.17434489057250846</v>
      </c>
      <c r="DY30" s="22">
        <f t="shared" si="68"/>
        <v>0.3321140516855712</v>
      </c>
      <c r="DZ30" s="22">
        <f t="shared" si="69"/>
        <v>0.174890716426702</v>
      </c>
      <c r="EA30" s="22">
        <f t="shared" si="70"/>
        <v>0.001155833843228553</v>
      </c>
      <c r="EB30" s="22">
        <f t="shared" si="71"/>
        <v>1.5511674154979214</v>
      </c>
      <c r="EC30" s="22">
        <f t="shared" si="72"/>
        <v>0.07968561305168195</v>
      </c>
      <c r="ED30" s="22">
        <f t="shared" si="73"/>
        <v>0.00992175925040927</v>
      </c>
      <c r="EE30" s="22">
        <f t="shared" si="74"/>
        <v>0</v>
      </c>
      <c r="EF30" s="22">
        <f t="shared" si="75"/>
        <v>0.001618281596506251</v>
      </c>
      <c r="EG30" s="15">
        <f aca="true" t="shared" si="239" ref="EG30:EG39">DU30+DV30+DY30+DZ30+EA30+EB30+EC30+ED30+EE30+EF30</f>
        <v>3.994324192168093</v>
      </c>
      <c r="EH30" s="15">
        <f aca="true" t="shared" si="240" ref="EH30:EH39">IF(ED30+DW30-DX30-2*DV30-EF30&gt;0,ED30+DW30-DX30-2*DV30-EF30,0)</f>
        <v>0</v>
      </c>
      <c r="EI30" s="15">
        <f aca="true" t="shared" si="241" ref="EI30:EI39">12-48/EG30</f>
        <v>-0.017051618923778378</v>
      </c>
      <c r="EJ30" s="15">
        <f aca="true" t="shared" si="242" ref="EJ30:EJ39">ED30</f>
        <v>0.00992175925040927</v>
      </c>
      <c r="EK30" s="15">
        <f aca="true" t="shared" si="243" ref="EK30:EK39">DV30</f>
        <v>0.001539681929135618</v>
      </c>
      <c r="EL30" s="15">
        <f aca="true" t="shared" si="244" ref="EL30:EL39">EF30</f>
        <v>0.001618281596506251</v>
      </c>
      <c r="EM30" s="15">
        <f aca="true" t="shared" si="245" ref="EM30:EM39">(DX30-EJ30-EL30)</f>
        <v>0.16280484972559292</v>
      </c>
      <c r="EN30" s="15">
        <f aca="true" t="shared" si="246" ref="EN30:EN39">EC30</f>
        <v>0.07968561305168195</v>
      </c>
      <c r="EO30" s="15">
        <f aca="true" t="shared" si="247" ref="EO30:EO39">((DZ30+EB30+EA30)-EK30-EM30-EN30)/2</f>
        <v>0.7415919105307207</v>
      </c>
      <c r="EP30" s="15">
        <f aca="true" t="shared" si="248" ref="EP30:EP39">EO30*(EB30/(EB30+DZ30+EA30))</f>
        <v>0.6660050404934692</v>
      </c>
      <c r="EQ30" s="15">
        <f aca="true" t="shared" si="249" ref="EQ30:EQ39">EN30*(EB30/(EB30+DZ30+EA30))</f>
        <v>0.07156364463206193</v>
      </c>
      <c r="ER30" s="15">
        <f aca="true" t="shared" si="250" ref="ER30:ER39">(0.5*EB30/(EC30+0.5*EB30+0.5*(DZ30-EH30)+EA30+ED30))*(0.5*EB30/(EH30+0.5*(DZ30-EH30)+DX30+DV30+EF30+0.5*EB30))</f>
        <v>0.6061053929384529</v>
      </c>
      <c r="ES30" s="15">
        <f aca="true" t="shared" si="251" ref="ES30:ES39">EC30/(EC30+0.5*EB30+0.5*(DZ30-EH30)+EA30+ED30)</f>
        <v>0.08354608795015459</v>
      </c>
      <c r="ET30" s="15">
        <f aca="true" t="shared" si="252" ref="ET30:ET39">(DZ30-EH30)/((DZ30-EH30)+EB30)</f>
        <v>0.10132376957182312</v>
      </c>
      <c r="EU30" s="15">
        <f aca="true" t="shared" si="253" ref="EU30:EU39">(EB30/(EC30+EB30-EH30+DZ30+EA30+ED30))*(EB30/(EH30+DZ30-EH30+DY30+DV30+EF30+EB30))</f>
        <v>0.6424769771622416</v>
      </c>
      <c r="EV30" s="15">
        <f aca="true" t="shared" si="254" ref="EV30:EV39">SUM(EJ30:EO30)</f>
        <v>0.9971620960840467</v>
      </c>
      <c r="EX30" s="1">
        <f t="shared" si="92"/>
        <v>1416</v>
      </c>
      <c r="EY30" s="1">
        <f t="shared" si="93"/>
        <v>19</v>
      </c>
      <c r="FA30" s="1">
        <f aca="true" t="shared" si="255" ref="FA30:FA39">((1-BT30/2)*(1-BX30))/((1-DY30/2)*(1-EC30))</f>
        <v>0.524918358431419</v>
      </c>
      <c r="FB30" s="1">
        <f aca="true" t="shared" si="256" ref="FB30:FB39">1616.67+287.935*LN(FA30)+2.933*EY30</f>
        <v>1486.819282879816</v>
      </c>
      <c r="FD30" s="1">
        <f aca="true" t="shared" si="257" ref="FD30:FD39">(-7-EY30*0.06188+34*(EN30^2)-(21.905-EY30*0.05229)*CN30^2)/(0.0083143*LN(CJ30/EO30)+0.004431*CN30^2-0.00397)</f>
        <v>1341.0417083959817</v>
      </c>
      <c r="FE30" s="1">
        <f aca="true" t="shared" si="258" ref="FE30:FE39">(-7-EY30*0.06188+34*(EQ30^2)-(21.905-EY30*0.05229)*CL30^2)/(0.0083143*LN(CK30/EP30)+0.004431*CL30^2-0.00397)</f>
        <v>1239.6242188220242</v>
      </c>
      <c r="FF30" s="1">
        <f aca="true" t="shared" si="259" ref="FF30:FF39">(12.909+EY30*0.1633+34*EO30^2-(21.905-EY30*0.05229)*CJ30^2)/(0.0083143*LN(CN30/EN30)+0.004431*CJ30^2+0.0085)</f>
        <v>1437.9450338486686</v>
      </c>
      <c r="FG30" s="1">
        <f aca="true" t="shared" si="260" ref="FG30:FG39">(12.909+EY30*0.1633+34*EP30^2-(21.905-EY30*0.05229)*CK30^2)/(0.0083143*LN(CL30/EQ30)+0.004431*CK30^2+0.0085)</f>
        <v>1333.7363219800493</v>
      </c>
      <c r="FH30" s="1">
        <f aca="true" t="shared" si="261" ref="FH30:FH39">CR30/ER30</f>
        <v>0.5021554461914395</v>
      </c>
      <c r="FI30" s="1">
        <f aca="true" t="shared" si="262" ref="FI30:FI39">-273.15+(4900/(1.807-LN(FH30)))</f>
        <v>1690.1125076564044</v>
      </c>
      <c r="FJ30" s="1">
        <f aca="true" t="shared" si="263" ref="FJ30:FJ39">-273.15+(7045/(2.47-LN(ES30/CS30)))</f>
        <v>1442.230844532839</v>
      </c>
      <c r="FL30" s="1">
        <f aca="true" t="shared" si="264" ref="FL30:FL39">-273.15+(-10202/(LN(CR30/ER30)-7.65*ET30+3.88*ET30^2-4.6))</f>
        <v>1420.3702038055449</v>
      </c>
      <c r="FM30" s="1">
        <f aca="true" t="shared" si="265" ref="FM30:FM39">-273.15+(3666/(0.8808-LN(DX30/(0.5*EB30))))</f>
        <v>1271.4822564691444</v>
      </c>
      <c r="FO30" s="1">
        <f aca="true" t="shared" si="266" ref="FO30:FO39">10*(1.279/(EC30/(1-BX30)+0.006)-2.29)</f>
        <v>54.43287441163321</v>
      </c>
      <c r="FP30" s="1">
        <f aca="true" t="shared" si="267" ref="FP30:FP39">10*(1.073/(EC30/(1-BX30)+0.028)-1.65)</f>
        <v>40.76059165632161</v>
      </c>
      <c r="FR30" s="1">
        <f aca="true" t="shared" si="268" ref="FR30:FR39">26.23-0.02229*EY30</f>
        <v>25.80649</v>
      </c>
      <c r="FS30" s="1">
        <f aca="true" t="shared" si="269" ref="FS30:FS39">32.44-0.08646*EY30</f>
        <v>30.797259999999998</v>
      </c>
      <c r="FT30" s="1">
        <f aca="true" t="shared" si="270" ref="FT30:FT39">28.6-1.749*EY30</f>
        <v>-4.631</v>
      </c>
      <c r="FU30" s="1">
        <f aca="true" t="shared" si="271" ref="FU30:FU39">-273.15+((4.261+0.059*EY30+FR30*CS30^2*(1-2*CR30)+2*FS30*CR30*CS30^2-FT30*ES30^2)/(0.002721-0.0083143*LN(CR30/ER30)))</f>
        <v>997.2244830919677</v>
      </c>
      <c r="FV30" s="1">
        <f aca="true" t="shared" si="272" ref="FV30:FV39">-273.15+(-35.92-1.753*EY30+FS30*CR30^2*(1-2*CS30)+2*FR30*CS30*CR30^2-FT30*ER30^2)/(-0.02097-0.0083143*LN(CS30/ES30))</f>
        <v>1608.5604939875097</v>
      </c>
      <c r="FX30" s="1">
        <f t="shared" si="112"/>
        <v>1310.9178538765868</v>
      </c>
      <c r="FY30" s="1">
        <f t="shared" si="113"/>
        <v>1354.9114943978993</v>
      </c>
      <c r="GA30" s="1">
        <f t="shared" si="114"/>
        <v>1437.6099044553794</v>
      </c>
      <c r="GC30" s="1">
        <f t="shared" si="128"/>
        <v>18.305994226412565</v>
      </c>
      <c r="GD30" s="1">
        <f t="shared" si="115"/>
        <v>-0.6940057735874348</v>
      </c>
      <c r="GE30" s="2">
        <f t="shared" si="116"/>
        <v>19</v>
      </c>
    </row>
    <row r="31" spans="1:187" ht="12.75">
      <c r="A31" s="1" t="s">
        <v>20</v>
      </c>
      <c r="B31" s="1" t="s">
        <v>19</v>
      </c>
      <c r="C31" s="23">
        <v>1.6</v>
      </c>
      <c r="D31" s="2">
        <v>1330</v>
      </c>
      <c r="F31" s="1">
        <v>5215</v>
      </c>
      <c r="G31" s="23">
        <v>52.9</v>
      </c>
      <c r="H31" s="23">
        <v>0.35</v>
      </c>
      <c r="I31" s="23">
        <v>7.4</v>
      </c>
      <c r="J31" s="23">
        <v>5.2</v>
      </c>
      <c r="K31" s="23">
        <v>0.17</v>
      </c>
      <c r="L31" s="23">
        <v>23.1</v>
      </c>
      <c r="M31" s="23">
        <v>11.6</v>
      </c>
      <c r="N31" s="23">
        <v>0.55</v>
      </c>
      <c r="O31" s="23">
        <v>0</v>
      </c>
      <c r="P31" s="23">
        <v>0.12</v>
      </c>
      <c r="R31" s="23">
        <v>54.9</v>
      </c>
      <c r="S31" s="23">
        <v>0.17</v>
      </c>
      <c r="T31" s="23">
        <v>6.22</v>
      </c>
      <c r="U31" s="23">
        <v>6.03</v>
      </c>
      <c r="V31" s="23">
        <v>0.15</v>
      </c>
      <c r="W31" s="23">
        <v>31.7</v>
      </c>
      <c r="X31" s="23">
        <v>2.46</v>
      </c>
      <c r="Y31" s="23">
        <v>0.14</v>
      </c>
      <c r="Z31" s="23">
        <v>0</v>
      </c>
      <c r="AA31" s="23">
        <v>0.1</v>
      </c>
      <c r="AC31" s="50">
        <f t="shared" si="117"/>
        <v>1333.9075849079293</v>
      </c>
      <c r="AD31" s="50">
        <f t="shared" si="118"/>
        <v>15.668972701808867</v>
      </c>
      <c r="AF31" s="27">
        <f t="shared" si="119"/>
        <v>1372.2509945717939</v>
      </c>
      <c r="AG31" s="27"/>
      <c r="AH31" s="27">
        <f t="shared" si="120"/>
        <v>1333.9075843692708</v>
      </c>
      <c r="AI31" s="27">
        <f t="shared" si="121"/>
        <v>1339.120501158957</v>
      </c>
      <c r="AJ31" s="27">
        <f t="shared" si="122"/>
        <v>15.900247156899342</v>
      </c>
      <c r="AK31" s="27">
        <f t="shared" si="123"/>
        <v>15.668972701808867</v>
      </c>
      <c r="AL31" s="29">
        <f t="shared" si="124"/>
        <v>1368.058977189467</v>
      </c>
      <c r="AM31" s="42">
        <f t="shared" si="125"/>
        <v>1.1834047654943176</v>
      </c>
      <c r="AN31" s="44"/>
      <c r="AO31" s="1">
        <f t="shared" si="126"/>
        <v>0.15869731482360105</v>
      </c>
      <c r="AQ31" s="1">
        <f t="shared" si="0"/>
        <v>0.8804296629901655</v>
      </c>
      <c r="AR31" s="1">
        <f t="shared" si="1"/>
        <v>0.0043816381818454955</v>
      </c>
      <c r="AS31" s="1">
        <f t="shared" si="2"/>
        <v>0.07257676954914134</v>
      </c>
      <c r="AT31" s="1">
        <f t="shared" si="3"/>
        <v>0.07237662569036166</v>
      </c>
      <c r="AU31" s="1">
        <f t="shared" si="4"/>
        <v>0.00239647577092511</v>
      </c>
      <c r="AV31" s="1">
        <f t="shared" si="5"/>
        <v>0.5731384166492989</v>
      </c>
      <c r="AW31" s="1">
        <f t="shared" si="6"/>
        <v>0.20685695128518797</v>
      </c>
      <c r="AX31" s="1">
        <f t="shared" si="7"/>
        <v>0.0088739877603507</v>
      </c>
      <c r="AY31" s="1">
        <f t="shared" si="8"/>
        <v>0</v>
      </c>
      <c r="AZ31" s="1">
        <f t="shared" si="9"/>
        <v>0.0007894830333517107</v>
      </c>
      <c r="BA31" s="1">
        <f t="shared" si="201"/>
        <v>1.8218200109106284</v>
      </c>
      <c r="BC31" s="15">
        <f t="shared" si="202"/>
        <v>1.760859325980331</v>
      </c>
      <c r="BD31" s="15">
        <f t="shared" si="202"/>
        <v>0.008763276363690991</v>
      </c>
      <c r="BE31" s="15">
        <f t="shared" si="203"/>
        <v>0.21773030864742404</v>
      </c>
      <c r="BF31" s="15">
        <f t="shared" si="204"/>
        <v>0.07237662569036166</v>
      </c>
      <c r="BG31" s="15">
        <f t="shared" si="204"/>
        <v>0.00239647577092511</v>
      </c>
      <c r="BH31" s="15">
        <f t="shared" si="204"/>
        <v>0.5731384166492989</v>
      </c>
      <c r="BI31" s="15">
        <f t="shared" si="205"/>
        <v>0.20685695128518797</v>
      </c>
      <c r="BJ31" s="15">
        <f t="shared" si="205"/>
        <v>0.0088739877603507</v>
      </c>
      <c r="BK31" s="15">
        <f t="shared" si="205"/>
        <v>0</v>
      </c>
      <c r="BL31" s="15">
        <f t="shared" si="206"/>
        <v>0.002368449100055132</v>
      </c>
      <c r="BM31" s="15">
        <f t="shared" si="207"/>
        <v>2.853363817247625</v>
      </c>
      <c r="BN31" s="15">
        <f t="shared" si="208"/>
        <v>2.1027812730125817</v>
      </c>
      <c r="BP31" s="22">
        <f t="shared" si="17"/>
        <v>1.8513510075404984</v>
      </c>
      <c r="BQ31" s="22">
        <f t="shared" si="18"/>
        <v>0.009213626713901605</v>
      </c>
      <c r="BR31" s="22">
        <f t="shared" si="209"/>
        <v>0.14864899245950158</v>
      </c>
      <c r="BS31" s="22">
        <f t="shared" si="210"/>
        <v>0.1565771512678668</v>
      </c>
      <c r="BT31" s="22">
        <f t="shared" si="21"/>
        <v>0.3052261437273684</v>
      </c>
      <c r="BU31" s="22">
        <f t="shared" si="22"/>
        <v>0.1521922131055338</v>
      </c>
      <c r="BV31" s="22">
        <f t="shared" si="23"/>
        <v>0.005039264372329711</v>
      </c>
      <c r="BW31" s="22">
        <f t="shared" si="24"/>
        <v>1.2051847293742282</v>
      </c>
      <c r="BX31" s="22">
        <f t="shared" si="25"/>
        <v>0.4349749233549691</v>
      </c>
      <c r="BY31" s="22">
        <f t="shared" si="26"/>
        <v>0.03732011055881663</v>
      </c>
      <c r="BZ31" s="22">
        <f t="shared" si="27"/>
        <v>0</v>
      </c>
      <c r="CA31" s="22">
        <f t="shared" si="28"/>
        <v>0.0033202202757862897</v>
      </c>
      <c r="CB31" s="15">
        <f t="shared" si="211"/>
        <v>4.003822239023433</v>
      </c>
      <c r="CC31" s="15">
        <f t="shared" si="212"/>
        <v>0.007644478046861894</v>
      </c>
      <c r="CD31" s="15">
        <f t="shared" si="213"/>
        <v>0.011455770397134302</v>
      </c>
      <c r="CE31" s="15">
        <f t="shared" si="214"/>
        <v>0.03732011055881663</v>
      </c>
      <c r="CF31" s="15">
        <f t="shared" si="215"/>
        <v>0.11925704070905019</v>
      </c>
      <c r="CG31" s="15">
        <f t="shared" si="216"/>
        <v>0.014695975875225697</v>
      </c>
      <c r="CH31" s="15">
        <f t="shared" si="217"/>
        <v>0.0016601101378931448</v>
      </c>
      <c r="CI31" s="15">
        <f t="shared" si="218"/>
        <v>0.2993617966328001</v>
      </c>
      <c r="CJ31" s="15">
        <f t="shared" si="219"/>
        <v>0.5290075729234809</v>
      </c>
      <c r="CK31" s="15">
        <f t="shared" si="220"/>
        <v>0.46795674141589044</v>
      </c>
      <c r="CL31" s="15">
        <f t="shared" si="221"/>
        <v>0.2648135452627158</v>
      </c>
      <c r="CM31" s="15">
        <f t="shared" si="222"/>
        <v>1.0013026068372666</v>
      </c>
      <c r="CN31" s="15">
        <f t="shared" si="223"/>
        <v>0.2993617966328001</v>
      </c>
      <c r="CO31" s="15"/>
      <c r="CP31" s="1">
        <f t="shared" si="224"/>
        <v>0.8929063804363595</v>
      </c>
      <c r="CQ31" s="15">
        <f t="shared" si="225"/>
        <v>0.1445477350586719</v>
      </c>
      <c r="CR31" s="15">
        <f t="shared" si="226"/>
        <v>0.37006026439268225</v>
      </c>
      <c r="CS31" s="22">
        <f t="shared" si="227"/>
        <v>0.3775166838061099</v>
      </c>
      <c r="CT31" s="22">
        <f t="shared" si="228"/>
        <v>0.4745724351048853</v>
      </c>
      <c r="CU31" s="22">
        <f t="shared" si="127"/>
        <v>0.43644723797167245</v>
      </c>
      <c r="CV31" s="1">
        <f t="shared" si="47"/>
        <v>0.9137162286986783</v>
      </c>
      <c r="CW31" s="1">
        <f t="shared" si="48"/>
        <v>0.0021282242597535266</v>
      </c>
      <c r="CX31" s="1">
        <f t="shared" si="49"/>
        <v>0.061003717107521505</v>
      </c>
      <c r="CY31" s="1">
        <f t="shared" si="50"/>
        <v>0.08392904863709247</v>
      </c>
      <c r="CZ31" s="1">
        <f t="shared" si="51"/>
        <v>0.0021145374449339205</v>
      </c>
      <c r="DA31" s="1">
        <f t="shared" si="52"/>
        <v>0.78651462371354</v>
      </c>
      <c r="DB31" s="1">
        <f t="shared" si="53"/>
        <v>0.04386793966910021</v>
      </c>
      <c r="DC31" s="1">
        <f t="shared" si="54"/>
        <v>0.002258833248089269</v>
      </c>
      <c r="DD31" s="1">
        <f t="shared" si="55"/>
        <v>0</v>
      </c>
      <c r="DE31" s="1">
        <f t="shared" si="56"/>
        <v>0.0006579025277930924</v>
      </c>
      <c r="DF31" s="1">
        <f t="shared" si="229"/>
        <v>1.8961910553065022</v>
      </c>
      <c r="DH31" s="15">
        <f t="shared" si="230"/>
        <v>1.8274324573973566</v>
      </c>
      <c r="DI31" s="15">
        <f t="shared" si="230"/>
        <v>0.004256448519507053</v>
      </c>
      <c r="DJ31" s="15">
        <f t="shared" si="231"/>
        <v>0.1830111513225645</v>
      </c>
      <c r="DK31" s="15">
        <f t="shared" si="232"/>
        <v>0.08392904863709247</v>
      </c>
      <c r="DL31" s="15">
        <f t="shared" si="232"/>
        <v>0.0021145374449339205</v>
      </c>
      <c r="DM31" s="15">
        <f t="shared" si="232"/>
        <v>0.78651462371354</v>
      </c>
      <c r="DN31" s="15">
        <f t="shared" si="233"/>
        <v>0.04386793966910021</v>
      </c>
      <c r="DO31" s="15">
        <f t="shared" si="233"/>
        <v>0.002258833248089269</v>
      </c>
      <c r="DP31" s="15">
        <f t="shared" si="233"/>
        <v>0</v>
      </c>
      <c r="DQ31" s="15">
        <f t="shared" si="234"/>
        <v>0.001973707583379277</v>
      </c>
      <c r="DR31" s="15">
        <f t="shared" si="235"/>
        <v>2.9353587475355636</v>
      </c>
      <c r="DS31" s="15">
        <f t="shared" si="236"/>
        <v>2.0440431702044646</v>
      </c>
      <c r="DU31" s="22">
        <f t="shared" si="64"/>
        <v>1.867675416776514</v>
      </c>
      <c r="DV31" s="22">
        <f t="shared" si="65"/>
        <v>0.0043501822628126486</v>
      </c>
      <c r="DW31" s="22">
        <f t="shared" si="237"/>
        <v>0.13232458322348606</v>
      </c>
      <c r="DX31" s="22">
        <f t="shared" si="238"/>
        <v>0.1170638793979431</v>
      </c>
      <c r="DY31" s="22">
        <f t="shared" si="68"/>
        <v>0.24938846262142916</v>
      </c>
      <c r="DZ31" s="22">
        <f t="shared" si="69"/>
        <v>0.1715545986484072</v>
      </c>
      <c r="EA31" s="22">
        <f t="shared" si="70"/>
        <v>0.004322205822458779</v>
      </c>
      <c r="EB31" s="22">
        <f t="shared" si="71"/>
        <v>1.607669844867596</v>
      </c>
      <c r="EC31" s="22">
        <f t="shared" si="72"/>
        <v>0.08966796247156578</v>
      </c>
      <c r="ED31" s="22">
        <f t="shared" si="73"/>
        <v>0.009234305346775275</v>
      </c>
      <c r="EE31" s="22">
        <f t="shared" si="74"/>
        <v>0</v>
      </c>
      <c r="EF31" s="22">
        <f t="shared" si="75"/>
        <v>0.0026895623371914466</v>
      </c>
      <c r="EG31" s="15">
        <f t="shared" si="239"/>
        <v>4.0065525411547505</v>
      </c>
      <c r="EH31" s="15">
        <f t="shared" si="240"/>
        <v>0.013105082309501486</v>
      </c>
      <c r="EI31" s="15">
        <f t="shared" si="241"/>
        <v>0.019625474282271682</v>
      </c>
      <c r="EJ31" s="15">
        <f t="shared" si="242"/>
        <v>0.009234305346775275</v>
      </c>
      <c r="EK31" s="15">
        <f t="shared" si="243"/>
        <v>0.0043501822628126486</v>
      </c>
      <c r="EL31" s="15">
        <f t="shared" si="244"/>
        <v>0.0026895623371914466</v>
      </c>
      <c r="EM31" s="15">
        <f t="shared" si="245"/>
        <v>0.10514001171397638</v>
      </c>
      <c r="EN31" s="15">
        <f t="shared" si="246"/>
        <v>0.08966796247156578</v>
      </c>
      <c r="EO31" s="15">
        <f t="shared" si="247"/>
        <v>0.7921942464450535</v>
      </c>
      <c r="EP31" s="15">
        <f t="shared" si="248"/>
        <v>0.7140754079853808</v>
      </c>
      <c r="EQ31" s="15">
        <f t="shared" si="249"/>
        <v>0.08082574087407518</v>
      </c>
      <c r="ER31" s="15">
        <f t="shared" si="250"/>
        <v>0.642121563109864</v>
      </c>
      <c r="ES31" s="15">
        <f t="shared" si="251"/>
        <v>0.09091493773444315</v>
      </c>
      <c r="ET31" s="15">
        <f t="shared" si="252"/>
        <v>0.08971619915352888</v>
      </c>
      <c r="EU31" s="15">
        <f t="shared" si="253"/>
        <v>0.6792049876692295</v>
      </c>
      <c r="EV31" s="15">
        <f t="shared" si="254"/>
        <v>1.003276270577375</v>
      </c>
      <c r="EX31" s="1">
        <f t="shared" si="92"/>
        <v>1330</v>
      </c>
      <c r="EY31" s="1">
        <f t="shared" si="93"/>
        <v>16</v>
      </c>
      <c r="FA31" s="1">
        <f t="shared" si="255"/>
        <v>0.600882927989878</v>
      </c>
      <c r="FB31" s="1">
        <f t="shared" si="256"/>
        <v>1516.9368223566953</v>
      </c>
      <c r="FD31" s="1">
        <f t="shared" si="257"/>
        <v>1385.9239869002092</v>
      </c>
      <c r="FE31" s="1">
        <f t="shared" si="258"/>
        <v>1288.9181098525612</v>
      </c>
      <c r="FF31" s="1">
        <f t="shared" si="259"/>
        <v>1566.71173074505</v>
      </c>
      <c r="FG31" s="1">
        <f t="shared" si="260"/>
        <v>1460.6549095211215</v>
      </c>
      <c r="FH31" s="1">
        <f t="shared" si="261"/>
        <v>0.5763087328829769</v>
      </c>
      <c r="FI31" s="1">
        <f t="shared" si="262"/>
        <v>1804.78373832658</v>
      </c>
      <c r="FJ31" s="1">
        <f t="shared" si="263"/>
        <v>1536.187465642708</v>
      </c>
      <c r="FL31" s="1">
        <f t="shared" si="264"/>
        <v>1483.9340483587262</v>
      </c>
      <c r="FM31" s="1">
        <f t="shared" si="265"/>
        <v>1032.6500842107675</v>
      </c>
      <c r="FO31" s="1">
        <f t="shared" si="266"/>
        <v>54.75761095558067</v>
      </c>
      <c r="FP31" s="1">
        <f t="shared" si="267"/>
        <v>40.972706611437474</v>
      </c>
      <c r="FR31" s="1">
        <f t="shared" si="268"/>
        <v>25.87336</v>
      </c>
      <c r="FS31" s="1">
        <f t="shared" si="269"/>
        <v>31.056639999999998</v>
      </c>
      <c r="FT31" s="1">
        <f t="shared" si="270"/>
        <v>0.6159999999999997</v>
      </c>
      <c r="FU31" s="1">
        <f t="shared" si="271"/>
        <v>1018.6407455661464</v>
      </c>
      <c r="FV31" s="1">
        <f t="shared" si="272"/>
        <v>1571.1182644453775</v>
      </c>
      <c r="FX31" s="1">
        <f t="shared" si="112"/>
        <v>1336.2452026040087</v>
      </c>
      <c r="FY31" s="1">
        <f t="shared" si="113"/>
        <v>1381.2479154243101</v>
      </c>
      <c r="GA31" s="1">
        <f t="shared" si="114"/>
        <v>1506.478040056671</v>
      </c>
      <c r="GC31" s="1">
        <f t="shared" si="128"/>
        <v>15.900247156899342</v>
      </c>
      <c r="GD31" s="1">
        <f t="shared" si="115"/>
        <v>-0.09975284310065824</v>
      </c>
      <c r="GE31" s="2">
        <f t="shared" si="116"/>
        <v>16</v>
      </c>
    </row>
    <row r="32" spans="1:187" ht="12.75">
      <c r="A32" s="1" t="s">
        <v>20</v>
      </c>
      <c r="B32" s="1" t="s">
        <v>21</v>
      </c>
      <c r="C32" s="23">
        <v>1.6</v>
      </c>
      <c r="D32" s="2">
        <v>1325</v>
      </c>
      <c r="F32" s="1">
        <v>5214</v>
      </c>
      <c r="G32" s="23">
        <v>51.3</v>
      </c>
      <c r="H32" s="23">
        <v>0.53</v>
      </c>
      <c r="I32" s="23">
        <v>9.15</v>
      </c>
      <c r="J32" s="23">
        <v>7.15</v>
      </c>
      <c r="K32" s="23">
        <v>0.19</v>
      </c>
      <c r="L32" s="23">
        <v>20.6</v>
      </c>
      <c r="M32" s="23">
        <v>10.8</v>
      </c>
      <c r="N32" s="23">
        <v>0.93</v>
      </c>
      <c r="O32" s="23">
        <v>0</v>
      </c>
      <c r="P32" s="23">
        <v>0.08</v>
      </c>
      <c r="R32" s="23">
        <v>52.3</v>
      </c>
      <c r="S32" s="23">
        <v>0.38</v>
      </c>
      <c r="T32" s="23">
        <v>8.16</v>
      </c>
      <c r="U32" s="23">
        <v>9.23</v>
      </c>
      <c r="V32" s="23">
        <v>0.15</v>
      </c>
      <c r="W32" s="23">
        <v>20.6</v>
      </c>
      <c r="X32" s="23">
        <v>2.16</v>
      </c>
      <c r="Y32" s="23">
        <v>0.23</v>
      </c>
      <c r="Z32" s="23">
        <v>0</v>
      </c>
      <c r="AA32" s="23">
        <v>0.06</v>
      </c>
      <c r="AC32" s="50">
        <f t="shared" si="117"/>
        <v>1403.3519328979864</v>
      </c>
      <c r="AD32" s="50">
        <f t="shared" si="118"/>
        <v>20.12541546147377</v>
      </c>
      <c r="AF32" s="27">
        <f t="shared" si="119"/>
        <v>1268.4355611288606</v>
      </c>
      <c r="AG32" s="27"/>
      <c r="AH32" s="27">
        <f t="shared" si="120"/>
        <v>1403.351990469148</v>
      </c>
      <c r="AI32" s="27">
        <f t="shared" si="121"/>
        <v>1401.5887044774222</v>
      </c>
      <c r="AJ32" s="27">
        <f t="shared" si="122"/>
        <v>15.070688064091943</v>
      </c>
      <c r="AK32" s="27">
        <f t="shared" si="123"/>
        <v>20.12541546147377</v>
      </c>
      <c r="AL32" s="29">
        <f t="shared" si="124"/>
        <v>1404.504439192105</v>
      </c>
      <c r="AM32" s="42">
        <f t="shared" si="125"/>
        <v>0.7746478873239439</v>
      </c>
      <c r="AN32" s="44"/>
      <c r="AO32" s="1">
        <f t="shared" si="126"/>
        <v>0.1466121592552196</v>
      </c>
      <c r="AQ32" s="1">
        <f t="shared" si="0"/>
        <v>0.8538004104233552</v>
      </c>
      <c r="AR32" s="1">
        <f t="shared" si="1"/>
        <v>0.006635052103937466</v>
      </c>
      <c r="AS32" s="1">
        <f t="shared" si="2"/>
        <v>0.0897401947803572</v>
      </c>
      <c r="AT32" s="1">
        <f t="shared" si="3"/>
        <v>0.09951786032424728</v>
      </c>
      <c r="AU32" s="1">
        <f t="shared" si="4"/>
        <v>0.0026784140969162997</v>
      </c>
      <c r="AV32" s="1">
        <f t="shared" si="5"/>
        <v>0.5111104494794613</v>
      </c>
      <c r="AW32" s="1">
        <f t="shared" si="6"/>
        <v>0.1925909546448302</v>
      </c>
      <c r="AX32" s="1">
        <f t="shared" si="7"/>
        <v>0.015005106576593001</v>
      </c>
      <c r="AY32" s="1">
        <f t="shared" si="8"/>
        <v>0</v>
      </c>
      <c r="AZ32" s="1">
        <f t="shared" si="9"/>
        <v>0.0005263220222344739</v>
      </c>
      <c r="BA32" s="1">
        <f t="shared" si="201"/>
        <v>1.7716047644519324</v>
      </c>
      <c r="BC32" s="15">
        <f t="shared" si="202"/>
        <v>1.7076008208467104</v>
      </c>
      <c r="BD32" s="15">
        <f t="shared" si="202"/>
        <v>0.013270104207874932</v>
      </c>
      <c r="BE32" s="15">
        <f t="shared" si="203"/>
        <v>0.2692205843410716</v>
      </c>
      <c r="BF32" s="15">
        <f t="shared" si="204"/>
        <v>0.09951786032424728</v>
      </c>
      <c r="BG32" s="15">
        <f t="shared" si="204"/>
        <v>0.0026784140969162997</v>
      </c>
      <c r="BH32" s="15">
        <f t="shared" si="204"/>
        <v>0.5111104494794613</v>
      </c>
      <c r="BI32" s="15">
        <f t="shared" si="205"/>
        <v>0.1925909546448302</v>
      </c>
      <c r="BJ32" s="15">
        <f t="shared" si="205"/>
        <v>0.015005106576593001</v>
      </c>
      <c r="BK32" s="15">
        <f t="shared" si="205"/>
        <v>0</v>
      </c>
      <c r="BL32" s="15">
        <f t="shared" si="206"/>
        <v>0.0015789660667034217</v>
      </c>
      <c r="BM32" s="15">
        <f t="shared" si="207"/>
        <v>2.8125732605844083</v>
      </c>
      <c r="BN32" s="15">
        <f t="shared" si="208"/>
        <v>2.133277765270831</v>
      </c>
      <c r="BP32" s="22">
        <f t="shared" si="17"/>
        <v>1.8213934315352533</v>
      </c>
      <c r="BQ32" s="22">
        <f t="shared" si="18"/>
        <v>0.014154409124743242</v>
      </c>
      <c r="BR32" s="22">
        <f t="shared" si="209"/>
        <v>0.17860656846474665</v>
      </c>
      <c r="BS32" s="22">
        <f t="shared" si="210"/>
        <v>0.20427495588727235</v>
      </c>
      <c r="BT32" s="22">
        <f t="shared" si="21"/>
        <v>0.382881524352019</v>
      </c>
      <c r="BU32" s="22">
        <f t="shared" si="22"/>
        <v>0.21229923867704492</v>
      </c>
      <c r="BV32" s="22">
        <f t="shared" si="23"/>
        <v>0.005713801239139494</v>
      </c>
      <c r="BW32" s="22">
        <f t="shared" si="24"/>
        <v>1.090340557472115</v>
      </c>
      <c r="BX32" s="22">
        <f t="shared" si="25"/>
        <v>0.4108500013360993</v>
      </c>
      <c r="BY32" s="22">
        <f t="shared" si="26"/>
        <v>0.06402012045072993</v>
      </c>
      <c r="BZ32" s="22">
        <f t="shared" si="27"/>
        <v>0</v>
      </c>
      <c r="CA32" s="22">
        <f t="shared" si="28"/>
        <v>0.002245582134810366</v>
      </c>
      <c r="CB32" s="15">
        <f t="shared" si="211"/>
        <v>4.0038986663219545</v>
      </c>
      <c r="CC32" s="15">
        <f t="shared" si="212"/>
        <v>0.007797332643907367</v>
      </c>
      <c r="CD32" s="15">
        <f t="shared" si="213"/>
        <v>0.011684610366632597</v>
      </c>
      <c r="CE32" s="15">
        <f t="shared" si="214"/>
        <v>0.06402012045072993</v>
      </c>
      <c r="CF32" s="15">
        <f t="shared" si="215"/>
        <v>0.14025483543654244</v>
      </c>
      <c r="CG32" s="15">
        <f t="shared" si="216"/>
        <v>0.019175866514102108</v>
      </c>
      <c r="CH32" s="15">
        <f t="shared" si="217"/>
        <v>0.001122791067405183</v>
      </c>
      <c r="CI32" s="15">
        <f t="shared" si="218"/>
        <v>0.25029650831804956</v>
      </c>
      <c r="CJ32" s="15">
        <f t="shared" si="219"/>
        <v>0.5261716439155553</v>
      </c>
      <c r="CK32" s="15">
        <f t="shared" si="220"/>
        <v>0.43849482639717796</v>
      </c>
      <c r="CL32" s="15">
        <f t="shared" si="221"/>
        <v>0.20858920322273616</v>
      </c>
      <c r="CM32" s="15">
        <f t="shared" si="222"/>
        <v>1.0010417657023845</v>
      </c>
      <c r="CN32" s="15">
        <f t="shared" si="223"/>
        <v>0.2502965083180495</v>
      </c>
      <c r="CO32" s="15"/>
      <c r="CP32" s="1">
        <f t="shared" si="224"/>
        <v>0.8420642573927234</v>
      </c>
      <c r="CQ32" s="15">
        <f t="shared" si="225"/>
        <v>0.20450190603313756</v>
      </c>
      <c r="CR32" s="15">
        <f t="shared" si="226"/>
        <v>0.3008167043277591</v>
      </c>
      <c r="CS32" s="22">
        <f t="shared" si="227"/>
        <v>0.36422706012965067</v>
      </c>
      <c r="CT32" s="22">
        <f t="shared" si="228"/>
        <v>0.393443329844986</v>
      </c>
      <c r="CU32" s="22">
        <f t="shared" si="127"/>
        <v>0.40719956392241885</v>
      </c>
      <c r="CV32" s="1">
        <f t="shared" si="47"/>
        <v>0.8704436932776116</v>
      </c>
      <c r="CW32" s="1">
        <f t="shared" si="48"/>
        <v>0.004757207168860824</v>
      </c>
      <c r="CX32" s="1">
        <f t="shared" si="49"/>
        <v>0.08003059993526937</v>
      </c>
      <c r="CY32" s="1">
        <f t="shared" si="50"/>
        <v>0.12846851060039194</v>
      </c>
      <c r="CZ32" s="1">
        <f t="shared" si="51"/>
        <v>0.0021145374449339205</v>
      </c>
      <c r="DA32" s="1">
        <f t="shared" si="52"/>
        <v>0.5111104494794613</v>
      </c>
      <c r="DB32" s="1">
        <f t="shared" si="53"/>
        <v>0.038518190928966044</v>
      </c>
      <c r="DC32" s="1">
        <f t="shared" si="54"/>
        <v>0.0037109403361466563</v>
      </c>
      <c r="DD32" s="1">
        <f t="shared" si="55"/>
        <v>0</v>
      </c>
      <c r="DE32" s="1">
        <f t="shared" si="56"/>
        <v>0.00039474151667585536</v>
      </c>
      <c r="DF32" s="1">
        <f t="shared" si="229"/>
        <v>1.6395488706883175</v>
      </c>
      <c r="DH32" s="15">
        <f t="shared" si="230"/>
        <v>1.7408873865552232</v>
      </c>
      <c r="DI32" s="15">
        <f t="shared" si="230"/>
        <v>0.009514414337721648</v>
      </c>
      <c r="DJ32" s="15">
        <f t="shared" si="231"/>
        <v>0.2400917998058081</v>
      </c>
      <c r="DK32" s="15">
        <f t="shared" si="232"/>
        <v>0.12846851060039194</v>
      </c>
      <c r="DL32" s="15">
        <f t="shared" si="232"/>
        <v>0.0021145374449339205</v>
      </c>
      <c r="DM32" s="15">
        <f t="shared" si="232"/>
        <v>0.5111104494794613</v>
      </c>
      <c r="DN32" s="15">
        <f t="shared" si="233"/>
        <v>0.038518190928966044</v>
      </c>
      <c r="DO32" s="15">
        <f t="shared" si="233"/>
        <v>0.0037109403361466563</v>
      </c>
      <c r="DP32" s="15">
        <f t="shared" si="233"/>
        <v>0</v>
      </c>
      <c r="DQ32" s="15">
        <f t="shared" si="234"/>
        <v>0.001184224550027566</v>
      </c>
      <c r="DR32" s="15">
        <f t="shared" si="235"/>
        <v>2.6756004540386806</v>
      </c>
      <c r="DS32" s="15">
        <f t="shared" si="236"/>
        <v>2.24248728577666</v>
      </c>
      <c r="DU32" s="22">
        <f t="shared" si="64"/>
        <v>1.9519589151595227</v>
      </c>
      <c r="DV32" s="22">
        <f t="shared" si="65"/>
        <v>0.010667976591975978</v>
      </c>
      <c r="DW32" s="22">
        <f t="shared" si="237"/>
        <v>0.04804108484047731</v>
      </c>
      <c r="DX32" s="22">
        <f t="shared" si="238"/>
        <v>0.31089412081536255</v>
      </c>
      <c r="DY32" s="22">
        <f t="shared" si="68"/>
        <v>0.35893520565583986</v>
      </c>
      <c r="DZ32" s="22">
        <f t="shared" si="69"/>
        <v>0.28808900164404294</v>
      </c>
      <c r="EA32" s="22">
        <f t="shared" si="70"/>
        <v>0.004741823335562981</v>
      </c>
      <c r="EB32" s="22">
        <f t="shared" si="71"/>
        <v>1.1461586845852858</v>
      </c>
      <c r="EC32" s="22">
        <f t="shared" si="72"/>
        <v>0.08637655342932422</v>
      </c>
      <c r="ED32" s="22">
        <f t="shared" si="73"/>
        <v>0.01664347304416928</v>
      </c>
      <c r="EE32" s="22">
        <f t="shared" si="74"/>
        <v>0</v>
      </c>
      <c r="EF32" s="22">
        <f t="shared" si="75"/>
        <v>0.001770405664627602</v>
      </c>
      <c r="EG32" s="15">
        <f t="shared" si="239"/>
        <v>3.8653420391103515</v>
      </c>
      <c r="EH32" s="15">
        <f t="shared" si="240"/>
        <v>0</v>
      </c>
      <c r="EI32" s="15">
        <f t="shared" si="241"/>
        <v>-0.4180472295403117</v>
      </c>
      <c r="EJ32" s="15">
        <f t="shared" si="242"/>
        <v>0.01664347304416928</v>
      </c>
      <c r="EK32" s="15">
        <f t="shared" si="243"/>
        <v>0.010667976591975978</v>
      </c>
      <c r="EL32" s="15">
        <f t="shared" si="244"/>
        <v>0.001770405664627602</v>
      </c>
      <c r="EM32" s="15">
        <f t="shared" si="245"/>
        <v>0.29248024210656565</v>
      </c>
      <c r="EN32" s="15">
        <f t="shared" si="246"/>
        <v>0.08637655342932422</v>
      </c>
      <c r="EO32" s="15">
        <f t="shared" si="247"/>
        <v>0.524732368718513</v>
      </c>
      <c r="EP32" s="15">
        <f t="shared" si="248"/>
        <v>0.41795062263628724</v>
      </c>
      <c r="EQ32" s="15">
        <f t="shared" si="249"/>
        <v>0.06879913731094536</v>
      </c>
      <c r="ER32" s="15">
        <f t="shared" si="250"/>
        <v>0.3826589477726367</v>
      </c>
      <c r="ES32" s="15">
        <f t="shared" si="251"/>
        <v>0.10471336109997446</v>
      </c>
      <c r="ET32" s="15">
        <f t="shared" si="252"/>
        <v>0.2008641913179137</v>
      </c>
      <c r="EU32" s="15">
        <f t="shared" si="253"/>
        <v>0.471819380896712</v>
      </c>
      <c r="EV32" s="15">
        <f t="shared" si="254"/>
        <v>0.9326710195551757</v>
      </c>
      <c r="EX32" s="1">
        <f t="shared" si="92"/>
        <v>1325</v>
      </c>
      <c r="EY32" s="1">
        <f t="shared" si="93"/>
        <v>16</v>
      </c>
      <c r="FA32" s="1">
        <f t="shared" si="255"/>
        <v>0.6354403004060935</v>
      </c>
      <c r="FB32" s="1">
        <f t="shared" si="256"/>
        <v>1533.0375788492115</v>
      </c>
      <c r="FD32" s="1">
        <f t="shared" si="257"/>
        <v>2467.906474048838</v>
      </c>
      <c r="FE32" s="1">
        <f t="shared" si="258"/>
        <v>2588.8608663401824</v>
      </c>
      <c r="FF32" s="1">
        <f t="shared" si="259"/>
        <v>1025.7367985228555</v>
      </c>
      <c r="FG32" s="1">
        <f t="shared" si="260"/>
        <v>937.3336667891118</v>
      </c>
      <c r="FH32" s="1">
        <f t="shared" si="261"/>
        <v>0.7861222273221072</v>
      </c>
      <c r="FI32" s="1">
        <f t="shared" si="262"/>
        <v>2119.8452713470415</v>
      </c>
      <c r="FJ32" s="1">
        <f t="shared" si="263"/>
        <v>1622.424819077948</v>
      </c>
      <c r="FL32" s="1">
        <f t="shared" si="264"/>
        <v>1366.85574018961</v>
      </c>
      <c r="FM32" s="1">
        <f t="shared" si="265"/>
        <v>2183.342461825352</v>
      </c>
      <c r="FO32" s="1">
        <f t="shared" si="266"/>
        <v>60.907214722719154</v>
      </c>
      <c r="FP32" s="1">
        <f t="shared" si="267"/>
        <v>44.95047427262287</v>
      </c>
      <c r="FR32" s="1">
        <f t="shared" si="268"/>
        <v>25.87336</v>
      </c>
      <c r="FS32" s="1">
        <f t="shared" si="269"/>
        <v>31.056639999999998</v>
      </c>
      <c r="FT32" s="1">
        <f t="shared" si="270"/>
        <v>0.6159999999999997</v>
      </c>
      <c r="FU32" s="1">
        <f t="shared" si="271"/>
        <v>1642.3013788931735</v>
      </c>
      <c r="FV32" s="1">
        <f t="shared" si="272"/>
        <v>1692.4193175759592</v>
      </c>
      <c r="FX32" s="1">
        <f t="shared" si="112"/>
        <v>1322.2222648613993</v>
      </c>
      <c r="FY32" s="1">
        <f t="shared" si="113"/>
        <v>1391.6281517166167</v>
      </c>
      <c r="GA32" s="1">
        <f t="shared" si="114"/>
        <v>1523.58183365776</v>
      </c>
      <c r="GC32" s="1">
        <f t="shared" si="128"/>
        <v>15.070688064091943</v>
      </c>
      <c r="GD32" s="1">
        <f t="shared" si="115"/>
        <v>-0.929311935908057</v>
      </c>
      <c r="GE32" s="2">
        <f t="shared" si="116"/>
        <v>16</v>
      </c>
    </row>
    <row r="33" spans="1:187" ht="12.75">
      <c r="A33" s="1" t="s">
        <v>20</v>
      </c>
      <c r="B33" s="1" t="s">
        <v>22</v>
      </c>
      <c r="C33" s="23">
        <v>1.6</v>
      </c>
      <c r="D33" s="2">
        <v>1340</v>
      </c>
      <c r="F33" s="1">
        <v>5213</v>
      </c>
      <c r="G33" s="23">
        <v>51.5</v>
      </c>
      <c r="H33" s="23">
        <v>0.49</v>
      </c>
      <c r="I33" s="23">
        <v>8.97</v>
      </c>
      <c r="J33" s="23">
        <v>6.53</v>
      </c>
      <c r="K33" s="23">
        <v>0.18</v>
      </c>
      <c r="L33" s="23">
        <v>20.9</v>
      </c>
      <c r="M33" s="23">
        <v>11.1</v>
      </c>
      <c r="N33" s="23">
        <v>0.74</v>
      </c>
      <c r="O33" s="23">
        <v>0</v>
      </c>
      <c r="P33" s="23">
        <v>0.08</v>
      </c>
      <c r="R33" s="23">
        <v>52.6</v>
      </c>
      <c r="S33" s="23">
        <v>0.28</v>
      </c>
      <c r="T33" s="23">
        <v>8.6</v>
      </c>
      <c r="U33" s="23">
        <v>7.91</v>
      </c>
      <c r="V33" s="23">
        <v>0.12</v>
      </c>
      <c r="W33" s="23">
        <v>29.5</v>
      </c>
      <c r="X33" s="23">
        <v>2.11</v>
      </c>
      <c r="Y33" s="23">
        <v>0.15</v>
      </c>
      <c r="Z33" s="23">
        <v>0</v>
      </c>
      <c r="AA33" s="23">
        <v>0</v>
      </c>
      <c r="AC33" s="50">
        <f t="shared" si="117"/>
        <v>1317.389458009354</v>
      </c>
      <c r="AD33" s="50">
        <f t="shared" si="118"/>
        <v>17.409916125828463</v>
      </c>
      <c r="AF33" s="27">
        <f t="shared" si="119"/>
        <v>1338.9142920869403</v>
      </c>
      <c r="AG33" s="27"/>
      <c r="AH33" s="27">
        <f t="shared" si="120"/>
        <v>1317.3894587551736</v>
      </c>
      <c r="AI33" s="27">
        <f t="shared" si="121"/>
        <v>1327.478382327455</v>
      </c>
      <c r="AJ33" s="27">
        <f t="shared" si="122"/>
        <v>16.92490518648153</v>
      </c>
      <c r="AK33" s="27">
        <f t="shared" si="123"/>
        <v>17.409916125828463</v>
      </c>
      <c r="AL33" s="29">
        <f t="shared" si="124"/>
        <v>1377.013103693729</v>
      </c>
      <c r="AM33" s="42">
        <f t="shared" si="125"/>
        <v>1.1652320664896354</v>
      </c>
      <c r="AN33" s="44"/>
      <c r="AO33" s="1">
        <f t="shared" si="126"/>
        <v>0.13494763301622698</v>
      </c>
      <c r="AQ33" s="1">
        <f t="shared" si="0"/>
        <v>0.8571290669942064</v>
      </c>
      <c r="AR33" s="1">
        <f t="shared" si="1"/>
        <v>0.006134293454583694</v>
      </c>
      <c r="AS33" s="1">
        <f t="shared" si="2"/>
        <v>0.08797481389943214</v>
      </c>
      <c r="AT33" s="1">
        <f t="shared" si="3"/>
        <v>0.09088833956885801</v>
      </c>
      <c r="AU33" s="1">
        <f t="shared" si="4"/>
        <v>0.002537444933920705</v>
      </c>
      <c r="AV33" s="1">
        <f t="shared" si="5"/>
        <v>0.5185538055398418</v>
      </c>
      <c r="AW33" s="1">
        <f t="shared" si="6"/>
        <v>0.19794070338496436</v>
      </c>
      <c r="AX33" s="1">
        <f t="shared" si="7"/>
        <v>0.01193954716847185</v>
      </c>
      <c r="AY33" s="1">
        <f t="shared" si="8"/>
        <v>0</v>
      </c>
      <c r="AZ33" s="1">
        <f t="shared" si="9"/>
        <v>0.0005263220222344739</v>
      </c>
      <c r="BA33" s="1">
        <f t="shared" si="201"/>
        <v>1.7736243369665132</v>
      </c>
      <c r="BC33" s="15">
        <f t="shared" si="202"/>
        <v>1.7142581339884129</v>
      </c>
      <c r="BD33" s="15">
        <f t="shared" si="202"/>
        <v>0.012268586909167389</v>
      </c>
      <c r="BE33" s="15">
        <f t="shared" si="203"/>
        <v>0.26392444169829643</v>
      </c>
      <c r="BF33" s="15">
        <f t="shared" si="204"/>
        <v>0.09088833956885801</v>
      </c>
      <c r="BG33" s="15">
        <f t="shared" si="204"/>
        <v>0.002537444933920705</v>
      </c>
      <c r="BH33" s="15">
        <f t="shared" si="204"/>
        <v>0.5185538055398418</v>
      </c>
      <c r="BI33" s="15">
        <f t="shared" si="205"/>
        <v>0.19794070338496436</v>
      </c>
      <c r="BJ33" s="15">
        <f t="shared" si="205"/>
        <v>0.01193954716847185</v>
      </c>
      <c r="BK33" s="15">
        <f t="shared" si="205"/>
        <v>0</v>
      </c>
      <c r="BL33" s="15">
        <f t="shared" si="206"/>
        <v>0.0015789660667034217</v>
      </c>
      <c r="BM33" s="15">
        <f t="shared" si="207"/>
        <v>2.813889969258637</v>
      </c>
      <c r="BN33" s="15">
        <f t="shared" si="208"/>
        <v>2.132279536708677</v>
      </c>
      <c r="BP33" s="22">
        <f t="shared" si="17"/>
        <v>1.8276387698699472</v>
      </c>
      <c r="BQ33" s="22">
        <f t="shared" si="18"/>
        <v>0.01308002840537479</v>
      </c>
      <c r="BR33" s="22">
        <f t="shared" si="209"/>
        <v>0.17236123013005278</v>
      </c>
      <c r="BS33" s="22">
        <f t="shared" si="210"/>
        <v>0.20281256071697373</v>
      </c>
      <c r="BT33" s="22">
        <f t="shared" si="21"/>
        <v>0.3751737908470265</v>
      </c>
      <c r="BU33" s="22">
        <f t="shared" si="22"/>
        <v>0.1937993465881055</v>
      </c>
      <c r="BV33" s="22">
        <f t="shared" si="23"/>
        <v>0.00541054190812422</v>
      </c>
      <c r="BW33" s="22">
        <f t="shared" si="24"/>
        <v>1.1057016682350151</v>
      </c>
      <c r="BX33" s="22">
        <f t="shared" si="25"/>
        <v>0.4220649113094815</v>
      </c>
      <c r="BY33" s="22">
        <f t="shared" si="26"/>
        <v>0.050916904209801106</v>
      </c>
      <c r="BZ33" s="22">
        <f t="shared" si="27"/>
        <v>0</v>
      </c>
      <c r="CA33" s="22">
        <f t="shared" si="28"/>
        <v>0.002244531355459396</v>
      </c>
      <c r="CB33" s="15">
        <f t="shared" si="211"/>
        <v>3.996030492728335</v>
      </c>
      <c r="CC33" s="15">
        <f t="shared" si="212"/>
        <v>0</v>
      </c>
      <c r="CD33" s="15">
        <f t="shared" si="213"/>
        <v>-0.011920351295280796</v>
      </c>
      <c r="CE33" s="15">
        <f t="shared" si="214"/>
        <v>0.050916904209801106</v>
      </c>
      <c r="CF33" s="15">
        <f t="shared" si="215"/>
        <v>0.15189565650717263</v>
      </c>
      <c r="CG33" s="15">
        <f t="shared" si="216"/>
        <v>0.010232786811440076</v>
      </c>
      <c r="CH33" s="15">
        <f t="shared" si="217"/>
        <v>0.001122265677729698</v>
      </c>
      <c r="CI33" s="15">
        <f t="shared" si="218"/>
        <v>0.25881420231313906</v>
      </c>
      <c r="CJ33" s="15">
        <f t="shared" si="219"/>
        <v>0.5203434062549909</v>
      </c>
      <c r="CK33" s="15">
        <f t="shared" si="220"/>
        <v>0.44090694835476096</v>
      </c>
      <c r="CL33" s="15">
        <f t="shared" si="221"/>
        <v>0.2193032116118284</v>
      </c>
      <c r="CM33" s="15">
        <f t="shared" si="222"/>
        <v>0.9933252217742734</v>
      </c>
      <c r="CN33" s="15">
        <f t="shared" si="223"/>
        <v>0.25881420231313906</v>
      </c>
      <c r="CO33" s="15"/>
      <c r="CP33" s="1">
        <f t="shared" si="224"/>
        <v>0.8508663368650895</v>
      </c>
      <c r="CQ33" s="15">
        <f t="shared" si="225"/>
        <v>0.1937993465881055</v>
      </c>
      <c r="CR33" s="15">
        <f t="shared" si="226"/>
        <v>0.3121679698628876</v>
      </c>
      <c r="CS33" s="22">
        <f t="shared" si="227"/>
        <v>0.3741236366989102</v>
      </c>
      <c r="CT33" s="22">
        <f t="shared" si="228"/>
        <v>0.40689624046158696</v>
      </c>
      <c r="CU33" s="22">
        <f t="shared" si="127"/>
        <v>0.4141479577942472</v>
      </c>
      <c r="CV33" s="1">
        <f t="shared" si="47"/>
        <v>0.8754366781338886</v>
      </c>
      <c r="CW33" s="1">
        <f t="shared" si="48"/>
        <v>0.0035053105454763973</v>
      </c>
      <c r="CX33" s="1">
        <f t="shared" si="49"/>
        <v>0.08434597542197507</v>
      </c>
      <c r="CY33" s="1">
        <f t="shared" si="50"/>
        <v>0.1100959825405309</v>
      </c>
      <c r="CZ33" s="1">
        <f t="shared" si="51"/>
        <v>0.0016916299559471366</v>
      </c>
      <c r="DA33" s="1">
        <f t="shared" si="52"/>
        <v>0.7319300126040829</v>
      </c>
      <c r="DB33" s="1">
        <f t="shared" si="53"/>
        <v>0.037626566138943676</v>
      </c>
      <c r="DC33" s="1">
        <f t="shared" si="54"/>
        <v>0.0024201784800956454</v>
      </c>
      <c r="DD33" s="1">
        <f t="shared" si="55"/>
        <v>0</v>
      </c>
      <c r="DE33" s="1">
        <f t="shared" si="56"/>
        <v>0</v>
      </c>
      <c r="DF33" s="1">
        <f t="shared" si="229"/>
        <v>1.8470523338209404</v>
      </c>
      <c r="DH33" s="15">
        <f t="shared" si="230"/>
        <v>1.7508733562677772</v>
      </c>
      <c r="DI33" s="15">
        <f t="shared" si="230"/>
        <v>0.007010621090952795</v>
      </c>
      <c r="DJ33" s="15">
        <f t="shared" si="231"/>
        <v>0.2530379262659252</v>
      </c>
      <c r="DK33" s="15">
        <f t="shared" si="232"/>
        <v>0.1100959825405309</v>
      </c>
      <c r="DL33" s="15">
        <f t="shared" si="232"/>
        <v>0.0016916299559471366</v>
      </c>
      <c r="DM33" s="15">
        <f t="shared" si="232"/>
        <v>0.7319300126040829</v>
      </c>
      <c r="DN33" s="15">
        <f t="shared" si="233"/>
        <v>0.037626566138943676</v>
      </c>
      <c r="DO33" s="15">
        <f t="shared" si="233"/>
        <v>0.0024201784800956454</v>
      </c>
      <c r="DP33" s="15">
        <f t="shared" si="233"/>
        <v>0</v>
      </c>
      <c r="DQ33" s="15">
        <f t="shared" si="234"/>
        <v>0</v>
      </c>
      <c r="DR33" s="15">
        <f t="shared" si="235"/>
        <v>2.8946862733442553</v>
      </c>
      <c r="DS33" s="15">
        <f t="shared" si="236"/>
        <v>2.072763482264401</v>
      </c>
      <c r="DU33" s="22">
        <f t="shared" si="64"/>
        <v>1.8145731774707785</v>
      </c>
      <c r="DV33" s="22">
        <f t="shared" si="65"/>
        <v>0.007265679692659784</v>
      </c>
      <c r="DW33" s="22">
        <f t="shared" si="237"/>
        <v>0.1854268225292215</v>
      </c>
      <c r="DX33" s="22">
        <f t="shared" si="238"/>
        <v>0.16423169293205975</v>
      </c>
      <c r="DY33" s="22">
        <f t="shared" si="68"/>
        <v>0.34965851546128124</v>
      </c>
      <c r="DZ33" s="22">
        <f t="shared" si="69"/>
        <v>0.22820293215403153</v>
      </c>
      <c r="EA33" s="22">
        <f t="shared" si="70"/>
        <v>0.003506348798191762</v>
      </c>
      <c r="EB33" s="22">
        <f t="shared" si="71"/>
        <v>1.5171178016990656</v>
      </c>
      <c r="EC33" s="22">
        <f t="shared" si="72"/>
        <v>0.07799097225580869</v>
      </c>
      <c r="ED33" s="22">
        <f t="shared" si="73"/>
        <v>0.01003291514820883</v>
      </c>
      <c r="EE33" s="22">
        <f t="shared" si="74"/>
        <v>0</v>
      </c>
      <c r="EF33" s="22">
        <f t="shared" si="75"/>
        <v>0</v>
      </c>
      <c r="EG33" s="15">
        <f t="shared" si="239"/>
        <v>4.0083483426800255</v>
      </c>
      <c r="EH33" s="15">
        <f t="shared" si="240"/>
        <v>0.016696685360051013</v>
      </c>
      <c r="EI33" s="15">
        <f t="shared" si="241"/>
        <v>0.024992865788037832</v>
      </c>
      <c r="EJ33" s="15">
        <f t="shared" si="242"/>
        <v>0.01003291514820883</v>
      </c>
      <c r="EK33" s="15">
        <f t="shared" si="243"/>
        <v>0.007265679692659784</v>
      </c>
      <c r="EL33" s="15">
        <f t="shared" si="244"/>
        <v>0</v>
      </c>
      <c r="EM33" s="15">
        <f t="shared" si="245"/>
        <v>0.1541987777838509</v>
      </c>
      <c r="EN33" s="15">
        <f t="shared" si="246"/>
        <v>0.07799097225580869</v>
      </c>
      <c r="EO33" s="15">
        <f t="shared" si="247"/>
        <v>0.7546858264594847</v>
      </c>
      <c r="EP33" s="15">
        <f t="shared" si="248"/>
        <v>0.6546944025339955</v>
      </c>
      <c r="EQ33" s="15">
        <f t="shared" si="249"/>
        <v>0.06765762810679109</v>
      </c>
      <c r="ER33" s="15">
        <f t="shared" si="250"/>
        <v>0.57196278896501</v>
      </c>
      <c r="ES33" s="15">
        <f t="shared" si="251"/>
        <v>0.08159397787998496</v>
      </c>
      <c r="ET33" s="15">
        <f t="shared" si="252"/>
        <v>0.12235526109819209</v>
      </c>
      <c r="EU33" s="15">
        <f t="shared" si="253"/>
        <v>0.6015158739004035</v>
      </c>
      <c r="EV33" s="15">
        <f t="shared" si="254"/>
        <v>1.004174171340013</v>
      </c>
      <c r="EX33" s="1">
        <f t="shared" si="92"/>
        <v>1340</v>
      </c>
      <c r="EY33" s="1">
        <f t="shared" si="93"/>
        <v>16</v>
      </c>
      <c r="FA33" s="1">
        <f t="shared" si="255"/>
        <v>0.6171304686775827</v>
      </c>
      <c r="FB33" s="1">
        <f t="shared" si="256"/>
        <v>1524.61902544334</v>
      </c>
      <c r="FD33" s="1">
        <f t="shared" si="257"/>
        <v>1359.2226521692892</v>
      </c>
      <c r="FE33" s="1">
        <f t="shared" si="258"/>
        <v>1256.0930691593373</v>
      </c>
      <c r="FF33" s="1">
        <f t="shared" si="259"/>
        <v>1483.3681306189692</v>
      </c>
      <c r="FG33" s="1">
        <f t="shared" si="260"/>
        <v>1358.45297100486</v>
      </c>
      <c r="FH33" s="1">
        <f t="shared" si="261"/>
        <v>0.5457837046143653</v>
      </c>
      <c r="FI33" s="1">
        <f t="shared" si="262"/>
        <v>1757.9106986312995</v>
      </c>
      <c r="FJ33" s="1">
        <f t="shared" si="263"/>
        <v>1491.2623282333016</v>
      </c>
      <c r="FL33" s="1">
        <f t="shared" si="264"/>
        <v>1403.8552037420905</v>
      </c>
      <c r="FM33" s="1">
        <f t="shared" si="265"/>
        <v>1247.4173169913302</v>
      </c>
      <c r="FO33" s="1">
        <f t="shared" si="266"/>
        <v>67.84292151133546</v>
      </c>
      <c r="FP33" s="1">
        <f t="shared" si="267"/>
        <v>49.34937627741707</v>
      </c>
      <c r="FR33" s="1">
        <f t="shared" si="268"/>
        <v>25.87336</v>
      </c>
      <c r="FS33" s="1">
        <f t="shared" si="269"/>
        <v>31.056639999999998</v>
      </c>
      <c r="FT33" s="1">
        <f t="shared" si="270"/>
        <v>0.6159999999999997</v>
      </c>
      <c r="FU33" s="1">
        <f t="shared" si="271"/>
        <v>922.8029088567638</v>
      </c>
      <c r="FV33" s="1">
        <f t="shared" si="272"/>
        <v>1556.1304242906845</v>
      </c>
      <c r="FX33" s="1">
        <f t="shared" si="112"/>
        <v>1285.1447759846155</v>
      </c>
      <c r="FY33" s="1">
        <f t="shared" si="113"/>
        <v>1330.527425826835</v>
      </c>
      <c r="GA33" s="1">
        <f t="shared" si="114"/>
        <v>1450.461929307688</v>
      </c>
      <c r="GC33" s="1">
        <f t="shared" si="128"/>
        <v>16.92490518648153</v>
      </c>
      <c r="GD33" s="1">
        <f t="shared" si="115"/>
        <v>0.9249051864815314</v>
      </c>
      <c r="GE33" s="2">
        <f t="shared" si="116"/>
        <v>16</v>
      </c>
    </row>
    <row r="34" spans="1:187" ht="12.75">
      <c r="A34" s="1" t="s">
        <v>23</v>
      </c>
      <c r="B34" s="1" t="s">
        <v>25</v>
      </c>
      <c r="C34" s="23">
        <v>1.5</v>
      </c>
      <c r="D34" s="2">
        <v>1300</v>
      </c>
      <c r="F34" s="1">
        <v>339</v>
      </c>
      <c r="G34" s="23">
        <v>50.93</v>
      </c>
      <c r="H34" s="23">
        <v>0.81</v>
      </c>
      <c r="I34" s="23">
        <v>9.02</v>
      </c>
      <c r="J34" s="23">
        <v>5.82</v>
      </c>
      <c r="K34" s="23">
        <v>0</v>
      </c>
      <c r="L34" s="23">
        <v>18.51</v>
      </c>
      <c r="M34" s="23">
        <v>13.34</v>
      </c>
      <c r="N34" s="23">
        <v>1.23</v>
      </c>
      <c r="O34" s="23">
        <v>0</v>
      </c>
      <c r="P34" s="23">
        <v>0.34</v>
      </c>
      <c r="R34" s="23">
        <v>52.95</v>
      </c>
      <c r="S34" s="23">
        <v>0.52</v>
      </c>
      <c r="T34" s="23">
        <v>7.43</v>
      </c>
      <c r="U34" s="23">
        <v>8.01</v>
      </c>
      <c r="V34" s="23">
        <v>0</v>
      </c>
      <c r="W34" s="23">
        <v>28.72</v>
      </c>
      <c r="X34" s="23">
        <v>1.93</v>
      </c>
      <c r="Y34" s="23">
        <v>0.27</v>
      </c>
      <c r="Z34" s="23">
        <v>0</v>
      </c>
      <c r="AA34" s="23">
        <v>0.16</v>
      </c>
      <c r="AC34" s="50">
        <f t="shared" si="117"/>
        <v>1345.7326428523802</v>
      </c>
      <c r="AD34" s="50">
        <f t="shared" si="118"/>
        <v>17.612514314663187</v>
      </c>
      <c r="AF34" s="27">
        <f t="shared" si="119"/>
        <v>1303.0294511511147</v>
      </c>
      <c r="AG34" s="27"/>
      <c r="AH34" s="27">
        <f t="shared" si="120"/>
        <v>1345.7326513160917</v>
      </c>
      <c r="AI34" s="27">
        <f t="shared" si="121"/>
        <v>1359.543577779611</v>
      </c>
      <c r="AJ34" s="27">
        <f t="shared" si="122"/>
        <v>14.79382212441669</v>
      </c>
      <c r="AK34" s="27">
        <f t="shared" si="123"/>
        <v>17.612514314663187</v>
      </c>
      <c r="AL34" s="29">
        <f t="shared" si="124"/>
        <v>1324.5501839278074</v>
      </c>
      <c r="AM34" s="42">
        <f t="shared" si="125"/>
        <v>1.127375221815518</v>
      </c>
      <c r="AN34" s="44"/>
      <c r="AO34" s="1">
        <f t="shared" si="126"/>
        <v>0.1480635763928493</v>
      </c>
      <c r="AQ34" s="1">
        <f t="shared" si="0"/>
        <v>0.8476423957672803</v>
      </c>
      <c r="AR34" s="1">
        <f t="shared" si="1"/>
        <v>0.010140362649413863</v>
      </c>
      <c r="AS34" s="1">
        <f t="shared" si="2"/>
        <v>0.08846519747746687</v>
      </c>
      <c r="AT34" s="1">
        <f t="shared" si="3"/>
        <v>0.08100614644575094</v>
      </c>
      <c r="AU34" s="1">
        <f t="shared" si="4"/>
        <v>0</v>
      </c>
      <c r="AV34" s="1">
        <f t="shared" si="5"/>
        <v>0.45925506892547713</v>
      </c>
      <c r="AW34" s="1">
        <f t="shared" si="6"/>
        <v>0.23788549397796618</v>
      </c>
      <c r="AX34" s="1">
        <f t="shared" si="7"/>
        <v>0.01984546353678429</v>
      </c>
      <c r="AY34" s="1">
        <f t="shared" si="8"/>
        <v>0</v>
      </c>
      <c r="AZ34" s="1">
        <f t="shared" si="9"/>
        <v>0.002236868594496514</v>
      </c>
      <c r="BA34" s="1">
        <f t="shared" si="201"/>
        <v>1.746476997374636</v>
      </c>
      <c r="BC34" s="15">
        <f aca="true" t="shared" si="273" ref="BC34:BD36">AQ34*2</f>
        <v>1.6952847915345606</v>
      </c>
      <c r="BD34" s="15">
        <f t="shared" si="273"/>
        <v>0.020280725298827726</v>
      </c>
      <c r="BE34" s="15">
        <f t="shared" si="203"/>
        <v>0.26539559243240063</v>
      </c>
      <c r="BF34" s="15">
        <f t="shared" si="204"/>
        <v>0.08100614644575094</v>
      </c>
      <c r="BG34" s="15">
        <f t="shared" si="204"/>
        <v>0</v>
      </c>
      <c r="BH34" s="15">
        <f t="shared" si="204"/>
        <v>0.45925506892547713</v>
      </c>
      <c r="BI34" s="15">
        <f t="shared" si="205"/>
        <v>0.23788549397796618</v>
      </c>
      <c r="BJ34" s="15">
        <f t="shared" si="205"/>
        <v>0.01984546353678429</v>
      </c>
      <c r="BK34" s="15">
        <f t="shared" si="205"/>
        <v>0</v>
      </c>
      <c r="BL34" s="15">
        <f t="shared" si="206"/>
        <v>0.006710605783489542</v>
      </c>
      <c r="BM34" s="15">
        <f t="shared" si="207"/>
        <v>2.785663887935257</v>
      </c>
      <c r="BN34" s="15">
        <f t="shared" si="208"/>
        <v>2.153885120881263</v>
      </c>
      <c r="BP34" s="22">
        <f t="shared" si="17"/>
        <v>1.825724344071292</v>
      </c>
      <c r="BQ34" s="22">
        <f t="shared" si="18"/>
        <v>0.021841176230912623</v>
      </c>
      <c r="BR34" s="22">
        <f t="shared" si="209"/>
        <v>0.17427565592870797</v>
      </c>
      <c r="BS34" s="22">
        <f t="shared" si="210"/>
        <v>0.20681208919636906</v>
      </c>
      <c r="BT34" s="22">
        <f t="shared" si="21"/>
        <v>0.38108774512507704</v>
      </c>
      <c r="BU34" s="22">
        <f t="shared" si="22"/>
        <v>0.17447793352943156</v>
      </c>
      <c r="BV34" s="22">
        <f t="shared" si="23"/>
        <v>0</v>
      </c>
      <c r="BW34" s="22">
        <f t="shared" si="24"/>
        <v>0.9891826596478841</v>
      </c>
      <c r="BX34" s="22">
        <f t="shared" si="25"/>
        <v>0.5123780259526307</v>
      </c>
      <c r="BY34" s="22">
        <f t="shared" si="26"/>
        <v>0.08548969725774266</v>
      </c>
      <c r="BZ34" s="22">
        <f t="shared" si="27"/>
        <v>0</v>
      </c>
      <c r="CA34" s="22">
        <f t="shared" si="28"/>
        <v>0.00963591596610525</v>
      </c>
      <c r="CB34" s="15">
        <f t="shared" si="211"/>
        <v>3.9998174977810756</v>
      </c>
      <c r="CC34" s="15">
        <f t="shared" si="212"/>
        <v>0</v>
      </c>
      <c r="CD34" s="15">
        <f t="shared" si="213"/>
        <v>-0.0005475316382081985</v>
      </c>
      <c r="CE34" s="15">
        <f t="shared" si="214"/>
        <v>0.08548969725774266</v>
      </c>
      <c r="CF34" s="15">
        <f t="shared" si="215"/>
        <v>0.1213223919386264</v>
      </c>
      <c r="CG34" s="15">
        <f t="shared" si="216"/>
        <v>0.026476631995040786</v>
      </c>
      <c r="CH34" s="15">
        <f t="shared" si="217"/>
        <v>0.004817957983052625</v>
      </c>
      <c r="CI34" s="15">
        <f t="shared" si="218"/>
        <v>0.3597610440359109</v>
      </c>
      <c r="CJ34" s="15">
        <f t="shared" si="219"/>
        <v>0.40194977457070236</v>
      </c>
      <c r="CK34" s="15">
        <f t="shared" si="220"/>
        <v>0.34168188678546174</v>
      </c>
      <c r="CL34" s="15">
        <f t="shared" si="221"/>
        <v>0.3058188860769606</v>
      </c>
      <c r="CM34" s="15">
        <f t="shared" si="222"/>
        <v>0.9998174977810758</v>
      </c>
      <c r="CN34" s="15">
        <f t="shared" si="223"/>
        <v>0.3597610440359109</v>
      </c>
      <c r="CO34" s="15"/>
      <c r="CP34" s="1">
        <f t="shared" si="224"/>
        <v>0.8500611479391698</v>
      </c>
      <c r="CQ34" s="15">
        <f t="shared" si="225"/>
        <v>0.17447793352943156</v>
      </c>
      <c r="CR34" s="15">
        <f t="shared" si="226"/>
        <v>0.2528395570541559</v>
      </c>
      <c r="CS34" s="22">
        <f t="shared" si="227"/>
        <v>0.43432981776125845</v>
      </c>
      <c r="CT34" s="22">
        <f t="shared" si="228"/>
        <v>0.352407408903151</v>
      </c>
      <c r="CU34" s="22">
        <f t="shared" si="127"/>
        <v>0.30638189577438285</v>
      </c>
      <c r="CV34" s="1">
        <f t="shared" si="47"/>
        <v>0.8812618271328784</v>
      </c>
      <c r="CW34" s="1">
        <f t="shared" si="48"/>
        <v>0.006509862441599023</v>
      </c>
      <c r="CX34" s="1">
        <f t="shared" si="49"/>
        <v>0.07287099969596218</v>
      </c>
      <c r="CY34" s="1">
        <f t="shared" si="50"/>
        <v>0.11148784072688402</v>
      </c>
      <c r="CZ34" s="1">
        <f t="shared" si="51"/>
        <v>0</v>
      </c>
      <c r="DA34" s="1">
        <f t="shared" si="52"/>
        <v>0.7125772868470935</v>
      </c>
      <c r="DB34" s="1">
        <f t="shared" si="53"/>
        <v>0.03441671689486317</v>
      </c>
      <c r="DC34" s="1">
        <f t="shared" si="54"/>
        <v>0.004356321264172162</v>
      </c>
      <c r="DD34" s="1">
        <f t="shared" si="55"/>
        <v>0</v>
      </c>
      <c r="DE34" s="1">
        <f t="shared" si="56"/>
        <v>0.0010526440444689478</v>
      </c>
      <c r="DF34" s="1">
        <f t="shared" si="229"/>
        <v>1.8245334990479214</v>
      </c>
      <c r="DH34" s="15">
        <f aca="true" t="shared" si="274" ref="DH34:DI36">CV34*2</f>
        <v>1.7625236542657567</v>
      </c>
      <c r="DI34" s="15">
        <f t="shared" si="274"/>
        <v>0.013019724883198046</v>
      </c>
      <c r="DJ34" s="15">
        <f t="shared" si="231"/>
        <v>0.21861299908788656</v>
      </c>
      <c r="DK34" s="15">
        <f t="shared" si="232"/>
        <v>0.11148784072688402</v>
      </c>
      <c r="DL34" s="15">
        <f t="shared" si="232"/>
        <v>0</v>
      </c>
      <c r="DM34" s="15">
        <f t="shared" si="232"/>
        <v>0.7125772868470935</v>
      </c>
      <c r="DN34" s="15">
        <f t="shared" si="233"/>
        <v>0.03441671689486317</v>
      </c>
      <c r="DO34" s="15">
        <f t="shared" si="233"/>
        <v>0.004356321264172162</v>
      </c>
      <c r="DP34" s="15">
        <f t="shared" si="233"/>
        <v>0</v>
      </c>
      <c r="DQ34" s="15">
        <f t="shared" si="234"/>
        <v>0.0031579321334068433</v>
      </c>
      <c r="DR34" s="15">
        <f t="shared" si="235"/>
        <v>2.860152476103261</v>
      </c>
      <c r="DS34" s="15">
        <f t="shared" si="236"/>
        <v>2.097790257732882</v>
      </c>
      <c r="DU34" s="22">
        <f t="shared" si="64"/>
        <v>1.8487024754712313</v>
      </c>
      <c r="DV34" s="22">
        <f t="shared" si="65"/>
        <v>0.013656326009167623</v>
      </c>
      <c r="DW34" s="22">
        <f t="shared" si="237"/>
        <v>0.15129752452876866</v>
      </c>
      <c r="DX34" s="22">
        <f t="shared" si="238"/>
        <v>0.1544386219381219</v>
      </c>
      <c r="DY34" s="22">
        <f t="shared" si="68"/>
        <v>0.30573614646689057</v>
      </c>
      <c r="DZ34" s="22">
        <f t="shared" si="69"/>
        <v>0.23387810613253252</v>
      </c>
      <c r="EA34" s="22">
        <f t="shared" si="70"/>
        <v>0</v>
      </c>
      <c r="EB34" s="22">
        <f t="shared" si="71"/>
        <v>1.4948376902295621</v>
      </c>
      <c r="EC34" s="22">
        <f t="shared" si="72"/>
        <v>0.07219905340519464</v>
      </c>
      <c r="ED34" s="22">
        <f t="shared" si="73"/>
        <v>0.01827729661506991</v>
      </c>
      <c r="EE34" s="22">
        <f t="shared" si="74"/>
        <v>0</v>
      </c>
      <c r="EF34" s="22">
        <f t="shared" si="75"/>
        <v>0.004416452842694994</v>
      </c>
      <c r="EG34" s="15">
        <f t="shared" si="239"/>
        <v>3.9917035471723437</v>
      </c>
      <c r="EH34" s="15">
        <f t="shared" si="240"/>
        <v>0</v>
      </c>
      <c r="EI34" s="15">
        <f t="shared" si="241"/>
        <v>-0.024941089125318783</v>
      </c>
      <c r="EJ34" s="15">
        <f t="shared" si="242"/>
        <v>0.01827729661506991</v>
      </c>
      <c r="EK34" s="15">
        <f t="shared" si="243"/>
        <v>0.013656326009167623</v>
      </c>
      <c r="EL34" s="15">
        <f t="shared" si="244"/>
        <v>0.004416452842694994</v>
      </c>
      <c r="EM34" s="15">
        <f t="shared" si="245"/>
        <v>0.13174487248035702</v>
      </c>
      <c r="EN34" s="15">
        <f t="shared" si="246"/>
        <v>0.07219905340519464</v>
      </c>
      <c r="EO34" s="15">
        <f t="shared" si="247"/>
        <v>0.7555577722336878</v>
      </c>
      <c r="EP34" s="15">
        <f t="shared" si="248"/>
        <v>0.6533382973983245</v>
      </c>
      <c r="EQ34" s="15">
        <f t="shared" si="249"/>
        <v>0.06243123737059666</v>
      </c>
      <c r="ER34" s="15">
        <f t="shared" si="250"/>
        <v>0.5642558677992353</v>
      </c>
      <c r="ES34" s="15">
        <f t="shared" si="251"/>
        <v>0.07561422680554353</v>
      </c>
      <c r="ET34" s="15">
        <f t="shared" si="252"/>
        <v>0.13529008448045945</v>
      </c>
      <c r="EU34" s="15">
        <f t="shared" si="253"/>
        <v>0.5984406827272749</v>
      </c>
      <c r="EV34" s="15">
        <f t="shared" si="254"/>
        <v>0.995851773586172</v>
      </c>
      <c r="EX34" s="1">
        <f t="shared" si="92"/>
        <v>1300</v>
      </c>
      <c r="EY34" s="1">
        <f t="shared" si="93"/>
        <v>15</v>
      </c>
      <c r="FA34" s="1">
        <f t="shared" si="255"/>
        <v>0.502193077883749</v>
      </c>
      <c r="FB34" s="1">
        <f t="shared" si="256"/>
        <v>1462.3438326997837</v>
      </c>
      <c r="FD34" s="1">
        <f t="shared" si="257"/>
        <v>1212.9444215835153</v>
      </c>
      <c r="FE34" s="1">
        <f t="shared" si="258"/>
        <v>1092.3359749229867</v>
      </c>
      <c r="FF34" s="1">
        <f t="shared" si="259"/>
        <v>1389.3392219407856</v>
      </c>
      <c r="FG34" s="1">
        <f t="shared" si="260"/>
        <v>1232.9277911534723</v>
      </c>
      <c r="FH34" s="1">
        <f t="shared" si="261"/>
        <v>0.4480938019134917</v>
      </c>
      <c r="FI34" s="1">
        <f t="shared" si="262"/>
        <v>1604.4225455725568</v>
      </c>
      <c r="FJ34" s="1">
        <f t="shared" si="263"/>
        <v>1397.0096023829929</v>
      </c>
      <c r="FL34" s="1">
        <f t="shared" si="264"/>
        <v>1329.2488255366875</v>
      </c>
      <c r="FM34" s="1">
        <f t="shared" si="265"/>
        <v>1218.5316272944865</v>
      </c>
      <c r="FO34" s="1">
        <f t="shared" si="266"/>
        <v>60.117675556139</v>
      </c>
      <c r="FP34" s="1">
        <f t="shared" si="267"/>
        <v>44.44389435812796</v>
      </c>
      <c r="FR34" s="1">
        <f t="shared" si="268"/>
        <v>25.89565</v>
      </c>
      <c r="FS34" s="1">
        <f t="shared" si="269"/>
        <v>31.143099999999997</v>
      </c>
      <c r="FT34" s="1">
        <f t="shared" si="270"/>
        <v>2.3649999999999984</v>
      </c>
      <c r="FU34" s="1">
        <f t="shared" si="271"/>
        <v>846.3494303880474</v>
      </c>
      <c r="FV34" s="1">
        <f t="shared" si="272"/>
        <v>1452.4926669415395</v>
      </c>
      <c r="FX34" s="1">
        <f t="shared" si="112"/>
        <v>1252.3474529670802</v>
      </c>
      <c r="FY34" s="1">
        <f t="shared" si="113"/>
        <v>1346.4371657357474</v>
      </c>
      <c r="GA34" s="1">
        <f t="shared" si="114"/>
        <v>1362.596032572601</v>
      </c>
      <c r="GC34" s="1">
        <f t="shared" si="128"/>
        <v>14.79382212441669</v>
      </c>
      <c r="GD34" s="1">
        <f t="shared" si="115"/>
        <v>-0.20617787558330924</v>
      </c>
      <c r="GE34" s="2">
        <f t="shared" si="116"/>
        <v>15</v>
      </c>
    </row>
    <row r="35" spans="1:187" ht="12.75">
      <c r="A35" s="1" t="s">
        <v>23</v>
      </c>
      <c r="B35" s="1" t="s">
        <v>26</v>
      </c>
      <c r="C35" s="23">
        <v>2</v>
      </c>
      <c r="D35" s="2">
        <v>1400</v>
      </c>
      <c r="F35" s="1">
        <v>336</v>
      </c>
      <c r="G35" s="23">
        <v>51.63</v>
      </c>
      <c r="H35" s="23">
        <v>0.4</v>
      </c>
      <c r="I35" s="23">
        <v>8.59</v>
      </c>
      <c r="J35" s="23">
        <v>6.96</v>
      </c>
      <c r="K35" s="23">
        <v>0</v>
      </c>
      <c r="L35" s="23">
        <v>21.39</v>
      </c>
      <c r="M35" s="23">
        <v>9.76</v>
      </c>
      <c r="N35" s="23">
        <v>0.97</v>
      </c>
      <c r="O35" s="23">
        <v>0</v>
      </c>
      <c r="P35" s="23">
        <v>0.29</v>
      </c>
      <c r="R35" s="23">
        <v>52.92</v>
      </c>
      <c r="S35" s="23">
        <v>0.23</v>
      </c>
      <c r="T35" s="23">
        <v>7.39</v>
      </c>
      <c r="U35" s="23">
        <v>8.21</v>
      </c>
      <c r="V35" s="23">
        <v>0</v>
      </c>
      <c r="W35" s="23">
        <v>28.47</v>
      </c>
      <c r="X35" s="23">
        <v>2.22</v>
      </c>
      <c r="Y35" s="23">
        <v>0.32</v>
      </c>
      <c r="Z35" s="23">
        <v>0</v>
      </c>
      <c r="AA35" s="23">
        <v>0.24</v>
      </c>
      <c r="AC35" s="50">
        <f t="shared" si="117"/>
        <v>1464.561559872039</v>
      </c>
      <c r="AD35" s="50">
        <f t="shared" si="118"/>
        <v>23.202342540137344</v>
      </c>
      <c r="AF35" s="27">
        <f t="shared" si="119"/>
        <v>1354.605017911536</v>
      </c>
      <c r="AG35" s="27"/>
      <c r="AH35" s="27">
        <f t="shared" si="120"/>
        <v>1464.561732720386</v>
      </c>
      <c r="AI35" s="27">
        <f t="shared" si="121"/>
        <v>1421.4165319370356</v>
      </c>
      <c r="AJ35" s="27">
        <f t="shared" si="122"/>
        <v>19.412825296910803</v>
      </c>
      <c r="AK35" s="27">
        <f t="shared" si="123"/>
        <v>23.202342540137344</v>
      </c>
      <c r="AL35" s="29">
        <f t="shared" si="124"/>
        <v>1453.5298276766582</v>
      </c>
      <c r="AM35" s="42">
        <f t="shared" si="125"/>
        <v>1.128347224760964</v>
      </c>
      <c r="AN35" s="44"/>
      <c r="AO35" s="1">
        <f t="shared" si="126"/>
        <v>0.132566153384807</v>
      </c>
      <c r="AQ35" s="1">
        <f t="shared" si="0"/>
        <v>0.8592926937652599</v>
      </c>
      <c r="AR35" s="1">
        <f t="shared" si="1"/>
        <v>0.00500758649353771</v>
      </c>
      <c r="AS35" s="1">
        <f t="shared" si="2"/>
        <v>0.08424789870636812</v>
      </c>
      <c r="AT35" s="1">
        <f t="shared" si="3"/>
        <v>0.09687332977017638</v>
      </c>
      <c r="AU35" s="1">
        <f t="shared" si="4"/>
        <v>0</v>
      </c>
      <c r="AV35" s="1">
        <f t="shared" si="5"/>
        <v>0.5307112871051299</v>
      </c>
      <c r="AW35" s="1">
        <f t="shared" si="6"/>
        <v>0.17404515901236506</v>
      </c>
      <c r="AX35" s="1">
        <f t="shared" si="7"/>
        <v>0.015650487504618504</v>
      </c>
      <c r="AY35" s="1">
        <f t="shared" si="8"/>
        <v>0</v>
      </c>
      <c r="AZ35" s="1">
        <f t="shared" si="9"/>
        <v>0.0019079173305999676</v>
      </c>
      <c r="BA35" s="1">
        <f t="shared" si="201"/>
        <v>1.7677363596880555</v>
      </c>
      <c r="BC35" s="15">
        <f t="shared" si="273"/>
        <v>1.7185853875305197</v>
      </c>
      <c r="BD35" s="15">
        <f t="shared" si="273"/>
        <v>0.01001517298707542</v>
      </c>
      <c r="BE35" s="15">
        <f t="shared" si="203"/>
        <v>0.25274369611910436</v>
      </c>
      <c r="BF35" s="15">
        <f t="shared" si="204"/>
        <v>0.09687332977017638</v>
      </c>
      <c r="BG35" s="15">
        <f t="shared" si="204"/>
        <v>0</v>
      </c>
      <c r="BH35" s="15">
        <f t="shared" si="204"/>
        <v>0.5307112871051299</v>
      </c>
      <c r="BI35" s="15">
        <f t="shared" si="205"/>
        <v>0.17404515901236506</v>
      </c>
      <c r="BJ35" s="15">
        <f t="shared" si="205"/>
        <v>0.015650487504618504</v>
      </c>
      <c r="BK35" s="15">
        <f t="shared" si="205"/>
        <v>0</v>
      </c>
      <c r="BL35" s="15">
        <f t="shared" si="206"/>
        <v>0.005723751991799903</v>
      </c>
      <c r="BM35" s="15">
        <f t="shared" si="207"/>
        <v>2.8043482720207895</v>
      </c>
      <c r="BN35" s="15">
        <f t="shared" si="208"/>
        <v>2.1395345435024913</v>
      </c>
      <c r="BP35" s="22">
        <f t="shared" si="17"/>
        <v>1.8384864012900812</v>
      </c>
      <c r="BQ35" s="22">
        <f t="shared" si="18"/>
        <v>0.010713904282500446</v>
      </c>
      <c r="BR35" s="22">
        <f t="shared" si="209"/>
        <v>0.16151359870991877</v>
      </c>
      <c r="BS35" s="22">
        <f t="shared" si="210"/>
        <v>0.19898898028962808</v>
      </c>
      <c r="BT35" s="22">
        <f t="shared" si="21"/>
        <v>0.36050257899954685</v>
      </c>
      <c r="BU35" s="22">
        <f t="shared" si="22"/>
        <v>0.20726383538740062</v>
      </c>
      <c r="BV35" s="22">
        <f t="shared" si="23"/>
        <v>0</v>
      </c>
      <c r="BW35" s="22">
        <f t="shared" si="24"/>
        <v>1.1354751313880938</v>
      </c>
      <c r="BX35" s="22">
        <f t="shared" si="25"/>
        <v>0.372375629836339</v>
      </c>
      <c r="BY35" s="22">
        <f t="shared" si="26"/>
        <v>0.06696951727757079</v>
      </c>
      <c r="BZ35" s="22">
        <f t="shared" si="27"/>
        <v>0</v>
      </c>
      <c r="CA35" s="22">
        <f t="shared" si="28"/>
        <v>0.008164110069931388</v>
      </c>
      <c r="CB35" s="15">
        <f t="shared" si="211"/>
        <v>3.999951108531464</v>
      </c>
      <c r="CC35" s="15">
        <f t="shared" si="212"/>
        <v>0</v>
      </c>
      <c r="CD35" s="15">
        <f t="shared" si="213"/>
        <v>-0.00014667619841191026</v>
      </c>
      <c r="CE35" s="15">
        <f t="shared" si="214"/>
        <v>0.06696951727757079</v>
      </c>
      <c r="CF35" s="15">
        <f t="shared" si="215"/>
        <v>0.1320194630120573</v>
      </c>
      <c r="CG35" s="15">
        <f t="shared" si="216"/>
        <v>0.014747067848930734</v>
      </c>
      <c r="CH35" s="15">
        <f t="shared" si="217"/>
        <v>0.004082055034965694</v>
      </c>
      <c r="CI35" s="15">
        <f t="shared" si="218"/>
        <v>0.22152704394038522</v>
      </c>
      <c r="CJ35" s="15">
        <f t="shared" si="219"/>
        <v>0.5606059614175546</v>
      </c>
      <c r="CK35" s="15">
        <f t="shared" si="220"/>
        <v>0.4740713894869621</v>
      </c>
      <c r="CL35" s="15">
        <f t="shared" si="221"/>
        <v>0.18733235241416968</v>
      </c>
      <c r="CM35" s="15">
        <f t="shared" si="222"/>
        <v>0.9999511085314643</v>
      </c>
      <c r="CN35" s="15">
        <f t="shared" si="223"/>
        <v>0.22152704394038525</v>
      </c>
      <c r="CO35" s="15"/>
      <c r="CP35" s="1">
        <f t="shared" si="224"/>
        <v>0.84564100654267</v>
      </c>
      <c r="CQ35" s="15">
        <f t="shared" si="225"/>
        <v>0.20726383538740062</v>
      </c>
      <c r="CR35" s="15">
        <f t="shared" si="226"/>
        <v>0.32634390066053287</v>
      </c>
      <c r="CS35" s="22">
        <f t="shared" si="227"/>
        <v>0.3352576977113866</v>
      </c>
      <c r="CT35" s="22">
        <f t="shared" si="228"/>
        <v>0.42011071224595115</v>
      </c>
      <c r="CU35" s="22">
        <f t="shared" si="127"/>
        <v>0.43853407629541064</v>
      </c>
      <c r="CV35" s="1">
        <f t="shared" si="47"/>
        <v>0.8807625286472507</v>
      </c>
      <c r="CW35" s="1">
        <f t="shared" si="48"/>
        <v>0.0028793622337841833</v>
      </c>
      <c r="CX35" s="1">
        <f t="shared" si="49"/>
        <v>0.07247869283353439</v>
      </c>
      <c r="CY35" s="1">
        <f t="shared" si="50"/>
        <v>0.11427155709959025</v>
      </c>
      <c r="CZ35" s="1">
        <f t="shared" si="51"/>
        <v>0</v>
      </c>
      <c r="DA35" s="1">
        <f t="shared" si="52"/>
        <v>0.7063744901301098</v>
      </c>
      <c r="DB35" s="1">
        <f t="shared" si="53"/>
        <v>0.03958814067699288</v>
      </c>
      <c r="DC35" s="1">
        <f t="shared" si="54"/>
        <v>0.005163047424204044</v>
      </c>
      <c r="DD35" s="1">
        <f t="shared" si="55"/>
        <v>0</v>
      </c>
      <c r="DE35" s="1">
        <f t="shared" si="56"/>
        <v>0.0015789660667034214</v>
      </c>
      <c r="DF35" s="1">
        <f t="shared" si="229"/>
        <v>1.8230967851121695</v>
      </c>
      <c r="DH35" s="15">
        <f t="shared" si="274"/>
        <v>1.7615250572945014</v>
      </c>
      <c r="DI35" s="15">
        <f t="shared" si="274"/>
        <v>0.005758724467568367</v>
      </c>
      <c r="DJ35" s="15">
        <f t="shared" si="231"/>
        <v>0.21743607850060317</v>
      </c>
      <c r="DK35" s="15">
        <f t="shared" si="232"/>
        <v>0.11427155709959025</v>
      </c>
      <c r="DL35" s="15">
        <f t="shared" si="232"/>
        <v>0</v>
      </c>
      <c r="DM35" s="15">
        <f t="shared" si="232"/>
        <v>0.7063744901301098</v>
      </c>
      <c r="DN35" s="15">
        <f t="shared" si="233"/>
        <v>0.03958814067699288</v>
      </c>
      <c r="DO35" s="15">
        <f t="shared" si="233"/>
        <v>0.005163047424204044</v>
      </c>
      <c r="DP35" s="15">
        <f t="shared" si="233"/>
        <v>0</v>
      </c>
      <c r="DQ35" s="15">
        <f t="shared" si="234"/>
        <v>0.004736898200110264</v>
      </c>
      <c r="DR35" s="15">
        <f t="shared" si="235"/>
        <v>2.8548539937936797</v>
      </c>
      <c r="DS35" s="15">
        <f t="shared" si="236"/>
        <v>2.1016836633480107</v>
      </c>
      <c r="DU35" s="22">
        <f t="shared" si="64"/>
        <v>1.851084217747011</v>
      </c>
      <c r="DV35" s="22">
        <f t="shared" si="65"/>
        <v>0.006051508567605454</v>
      </c>
      <c r="DW35" s="22">
        <f t="shared" si="237"/>
        <v>0.14891578225298896</v>
      </c>
      <c r="DX35" s="22">
        <f t="shared" si="238"/>
        <v>0.15573878708512656</v>
      </c>
      <c r="DY35" s="22">
        <f t="shared" si="68"/>
        <v>0.3046545693381155</v>
      </c>
      <c r="DZ35" s="22">
        <f t="shared" si="69"/>
        <v>0.2401626647415482</v>
      </c>
      <c r="EA35" s="22">
        <f t="shared" si="70"/>
        <v>0</v>
      </c>
      <c r="EB35" s="22">
        <f t="shared" si="71"/>
        <v>1.4845757261122323</v>
      </c>
      <c r="EC35" s="22">
        <f t="shared" si="72"/>
        <v>0.08320174852315879</v>
      </c>
      <c r="ED35" s="22">
        <f t="shared" si="73"/>
        <v>0.021702184849081332</v>
      </c>
      <c r="EE35" s="22">
        <f t="shared" si="74"/>
        <v>0</v>
      </c>
      <c r="EF35" s="22">
        <f t="shared" si="75"/>
        <v>0.0066369743747428924</v>
      </c>
      <c r="EG35" s="15">
        <f t="shared" si="239"/>
        <v>3.9980695942534954</v>
      </c>
      <c r="EH35" s="15">
        <f t="shared" si="240"/>
        <v>0</v>
      </c>
      <c r="EI35" s="15">
        <f t="shared" si="241"/>
        <v>-0.005794013438723766</v>
      </c>
      <c r="EJ35" s="15">
        <f t="shared" si="242"/>
        <v>0.021702184849081332</v>
      </c>
      <c r="EK35" s="15">
        <f t="shared" si="243"/>
        <v>0.006051508567605454</v>
      </c>
      <c r="EL35" s="15">
        <f t="shared" si="244"/>
        <v>0.0066369743747428924</v>
      </c>
      <c r="EM35" s="15">
        <f t="shared" si="245"/>
        <v>0.12739962786130235</v>
      </c>
      <c r="EN35" s="15">
        <f t="shared" si="246"/>
        <v>0.08320174852315879</v>
      </c>
      <c r="EO35" s="15">
        <f t="shared" si="247"/>
        <v>0.754042752950857</v>
      </c>
      <c r="EP35" s="15">
        <f t="shared" si="248"/>
        <v>0.6490454282330568</v>
      </c>
      <c r="EQ35" s="15">
        <f t="shared" si="249"/>
        <v>0.0716162502571948</v>
      </c>
      <c r="ER35" s="15">
        <f t="shared" si="250"/>
        <v>0.5526150079977928</v>
      </c>
      <c r="ES35" s="15">
        <f t="shared" si="251"/>
        <v>0.08601680957110197</v>
      </c>
      <c r="ET35" s="15">
        <f t="shared" si="252"/>
        <v>0.13924585085780042</v>
      </c>
      <c r="EU35" s="15">
        <f t="shared" si="253"/>
        <v>0.5898824204971989</v>
      </c>
      <c r="EV35" s="15">
        <f t="shared" si="254"/>
        <v>0.9990347971267478</v>
      </c>
      <c r="EX35" s="1">
        <f t="shared" si="92"/>
        <v>1400</v>
      </c>
      <c r="EY35" s="1">
        <f t="shared" si="93"/>
        <v>20</v>
      </c>
      <c r="FA35" s="1">
        <f t="shared" si="255"/>
        <v>0.6620313566445949</v>
      </c>
      <c r="FB35" s="1">
        <f t="shared" si="256"/>
        <v>1556.5734097545776</v>
      </c>
      <c r="FD35" s="1">
        <f t="shared" si="257"/>
        <v>1451.7679305911083</v>
      </c>
      <c r="FE35" s="1">
        <f t="shared" si="258"/>
        <v>1368.611502515771</v>
      </c>
      <c r="FF35" s="1">
        <f t="shared" si="259"/>
        <v>1605.313056033882</v>
      </c>
      <c r="FG35" s="1">
        <f t="shared" si="260"/>
        <v>1475.645728871652</v>
      </c>
      <c r="FH35" s="1">
        <f t="shared" si="261"/>
        <v>0.5905447661346112</v>
      </c>
      <c r="FI35" s="1">
        <f t="shared" si="262"/>
        <v>1826.511202573718</v>
      </c>
      <c r="FJ35" s="1">
        <f t="shared" si="263"/>
        <v>1566.1042699491609</v>
      </c>
      <c r="FL35" s="1">
        <f t="shared" si="264"/>
        <v>1394.7401742352713</v>
      </c>
      <c r="FM35" s="1">
        <f t="shared" si="265"/>
        <v>1227.8590899092464</v>
      </c>
      <c r="FO35" s="1">
        <f t="shared" si="266"/>
        <v>69.40248287604084</v>
      </c>
      <c r="FP35" s="1">
        <f t="shared" si="267"/>
        <v>50.32603882453902</v>
      </c>
      <c r="FR35" s="1">
        <f t="shared" si="268"/>
        <v>25.784200000000002</v>
      </c>
      <c r="FS35" s="1">
        <f t="shared" si="269"/>
        <v>30.7108</v>
      </c>
      <c r="FT35" s="1">
        <f t="shared" si="270"/>
        <v>-6.380000000000003</v>
      </c>
      <c r="FU35" s="1">
        <f t="shared" si="271"/>
        <v>958.8828592127753</v>
      </c>
      <c r="FV35" s="1">
        <f t="shared" si="272"/>
        <v>1774.9263493923313</v>
      </c>
      <c r="FX35" s="1">
        <f t="shared" si="112"/>
        <v>1332.8139711929366</v>
      </c>
      <c r="FY35" s="1">
        <f t="shared" si="113"/>
        <v>1446.3781398706396</v>
      </c>
      <c r="GA35" s="1">
        <f t="shared" si="114"/>
        <v>1465.8178243010589</v>
      </c>
      <c r="GC35" s="1">
        <f t="shared" si="128"/>
        <v>19.412825296910803</v>
      </c>
      <c r="GD35" s="1">
        <f t="shared" si="115"/>
        <v>-0.5871747030891967</v>
      </c>
      <c r="GE35" s="2">
        <f t="shared" si="116"/>
        <v>20</v>
      </c>
    </row>
    <row r="36" spans="1:187" ht="12.75">
      <c r="A36" s="1" t="s">
        <v>23</v>
      </c>
      <c r="B36" s="1" t="s">
        <v>24</v>
      </c>
      <c r="C36" s="23">
        <v>2</v>
      </c>
      <c r="D36" s="2">
        <v>1350</v>
      </c>
      <c r="F36" s="1">
        <v>335</v>
      </c>
      <c r="G36" s="23">
        <v>51.39</v>
      </c>
      <c r="H36" s="23">
        <v>0.83</v>
      </c>
      <c r="I36" s="23">
        <v>9.38</v>
      </c>
      <c r="J36" s="23">
        <v>7.57</v>
      </c>
      <c r="K36" s="23">
        <v>0</v>
      </c>
      <c r="L36" s="23">
        <v>19.55</v>
      </c>
      <c r="M36" s="23">
        <v>9.49</v>
      </c>
      <c r="N36" s="23">
        <v>1.64</v>
      </c>
      <c r="O36" s="23">
        <v>0</v>
      </c>
      <c r="P36" s="23">
        <v>0.15</v>
      </c>
      <c r="R36" s="23">
        <v>52.41</v>
      </c>
      <c r="S36" s="23">
        <v>0.5</v>
      </c>
      <c r="T36" s="23">
        <v>7.66</v>
      </c>
      <c r="U36" s="23">
        <v>9.67</v>
      </c>
      <c r="V36" s="23">
        <v>0</v>
      </c>
      <c r="W36" s="23">
        <v>27.3</v>
      </c>
      <c r="X36" s="23">
        <v>1.83</v>
      </c>
      <c r="Y36" s="23">
        <v>0.54</v>
      </c>
      <c r="Z36" s="23">
        <v>0</v>
      </c>
      <c r="AA36" s="23">
        <v>0.09</v>
      </c>
      <c r="AC36" s="50">
        <f t="shared" si="117"/>
        <v>1487.2248999321907</v>
      </c>
      <c r="AD36" s="50">
        <f t="shared" si="118"/>
        <v>25.671925261773538</v>
      </c>
      <c r="AF36" s="27">
        <f t="shared" si="119"/>
        <v>1331.4974548286295</v>
      </c>
      <c r="AG36" s="27"/>
      <c r="AH36" s="27">
        <f t="shared" si="120"/>
        <v>1487.2251380707464</v>
      </c>
      <c r="AI36" s="27">
        <f t="shared" si="121"/>
        <v>1453.5027251489173</v>
      </c>
      <c r="AJ36" s="27">
        <f t="shared" si="122"/>
        <v>22.502017839436014</v>
      </c>
      <c r="AK36" s="27">
        <f t="shared" si="123"/>
        <v>25.671925261773538</v>
      </c>
      <c r="AL36" s="29">
        <f t="shared" si="124"/>
        <v>1458.3377195684536</v>
      </c>
      <c r="AM36" s="42">
        <f t="shared" si="125"/>
        <v>1.0931639235434292</v>
      </c>
      <c r="AN36" s="44"/>
      <c r="AO36" s="1">
        <f t="shared" si="126"/>
        <v>0.10834398259356191</v>
      </c>
      <c r="AQ36" s="1">
        <f t="shared" si="0"/>
        <v>0.8552983058802383</v>
      </c>
      <c r="AR36" s="1">
        <f t="shared" si="1"/>
        <v>0.010390741974090748</v>
      </c>
      <c r="AS36" s="1">
        <f t="shared" si="2"/>
        <v>0.091995959239317</v>
      </c>
      <c r="AT36" s="1">
        <f t="shared" si="3"/>
        <v>0.10536366470693034</v>
      </c>
      <c r="AU36" s="1">
        <f t="shared" si="4"/>
        <v>0</v>
      </c>
      <c r="AV36" s="1">
        <f t="shared" si="5"/>
        <v>0.48505870326812955</v>
      </c>
      <c r="AW36" s="1">
        <f t="shared" si="6"/>
        <v>0.1692303851462443</v>
      </c>
      <c r="AX36" s="1">
        <f t="shared" si="7"/>
        <v>0.02646061804904572</v>
      </c>
      <c r="AY36" s="1">
        <f t="shared" si="8"/>
        <v>0</v>
      </c>
      <c r="AZ36" s="1">
        <f t="shared" si="9"/>
        <v>0.0009868537916896383</v>
      </c>
      <c r="BA36" s="1">
        <f t="shared" si="201"/>
        <v>1.7447852320556854</v>
      </c>
      <c r="BC36" s="15">
        <f t="shared" si="273"/>
        <v>1.7105966117604765</v>
      </c>
      <c r="BD36" s="15">
        <f t="shared" si="273"/>
        <v>0.020781483948181495</v>
      </c>
      <c r="BE36" s="15">
        <f t="shared" si="203"/>
        <v>0.27598787771795097</v>
      </c>
      <c r="BF36" s="15">
        <f t="shared" si="204"/>
        <v>0.10536366470693034</v>
      </c>
      <c r="BG36" s="15">
        <f t="shared" si="204"/>
        <v>0</v>
      </c>
      <c r="BH36" s="15">
        <f t="shared" si="204"/>
        <v>0.48505870326812955</v>
      </c>
      <c r="BI36" s="15">
        <f t="shared" si="205"/>
        <v>0.1692303851462443</v>
      </c>
      <c r="BJ36" s="15">
        <f t="shared" si="205"/>
        <v>0.02646061804904572</v>
      </c>
      <c r="BK36" s="15">
        <f t="shared" si="205"/>
        <v>0</v>
      </c>
      <c r="BL36" s="15">
        <f t="shared" si="206"/>
        <v>0.0029605613750689147</v>
      </c>
      <c r="BM36" s="15">
        <f t="shared" si="207"/>
        <v>2.796439905972028</v>
      </c>
      <c r="BN36" s="15">
        <f t="shared" si="208"/>
        <v>2.1455851732005775</v>
      </c>
      <c r="BP36" s="22">
        <f t="shared" si="17"/>
        <v>1.8351153637602116</v>
      </c>
      <c r="BQ36" s="22">
        <f t="shared" si="18"/>
        <v>0.022294221918162008</v>
      </c>
      <c r="BR36" s="22">
        <f t="shared" si="209"/>
        <v>0.16488463623978844</v>
      </c>
      <c r="BS36" s="22">
        <f t="shared" si="210"/>
        <v>0.229885696036698</v>
      </c>
      <c r="BT36" s="22">
        <f t="shared" si="21"/>
        <v>0.39477033227648645</v>
      </c>
      <c r="BU36" s="22">
        <f t="shared" si="22"/>
        <v>0.2260667167892667</v>
      </c>
      <c r="BV36" s="22">
        <f t="shared" si="23"/>
        <v>0</v>
      </c>
      <c r="BW36" s="22">
        <f t="shared" si="24"/>
        <v>1.0407347618639973</v>
      </c>
      <c r="BX36" s="22">
        <f t="shared" si="25"/>
        <v>0.363098205224805</v>
      </c>
      <c r="BY36" s="22">
        <f t="shared" si="26"/>
        <v>0.11354701951951218</v>
      </c>
      <c r="BZ36" s="22">
        <f t="shared" si="27"/>
        <v>0</v>
      </c>
      <c r="CA36" s="22">
        <f t="shared" si="28"/>
        <v>0.004234757727132119</v>
      </c>
      <c r="CB36" s="15">
        <f t="shared" si="211"/>
        <v>3.9998613790795736</v>
      </c>
      <c r="CC36" s="15">
        <f t="shared" si="212"/>
        <v>0</v>
      </c>
      <c r="CD36" s="15">
        <f t="shared" si="213"/>
        <v>-0.0004158771735980338</v>
      </c>
      <c r="CE36" s="15">
        <f t="shared" si="214"/>
        <v>0.11354701951951218</v>
      </c>
      <c r="CF36" s="15">
        <f t="shared" si="215"/>
        <v>0.11633867651718582</v>
      </c>
      <c r="CG36" s="15">
        <f t="shared" si="216"/>
        <v>0.024272979861301308</v>
      </c>
      <c r="CH36" s="15">
        <f t="shared" si="217"/>
        <v>0.0021173788635660594</v>
      </c>
      <c r="CI36" s="15">
        <f t="shared" si="218"/>
        <v>0.2203691699827518</v>
      </c>
      <c r="CJ36" s="15">
        <f t="shared" si="219"/>
        <v>0.523216154335256</v>
      </c>
      <c r="CK36" s="15">
        <f t="shared" si="220"/>
        <v>0.4298457563882763</v>
      </c>
      <c r="CL36" s="15">
        <f t="shared" si="221"/>
        <v>0.18104324908744457</v>
      </c>
      <c r="CM36" s="15">
        <f t="shared" si="222"/>
        <v>0.9998613790795732</v>
      </c>
      <c r="CN36" s="15">
        <f t="shared" si="223"/>
        <v>0.22036916998275183</v>
      </c>
      <c r="CO36" s="15"/>
      <c r="CP36" s="1">
        <f t="shared" si="224"/>
        <v>0.8215452692480292</v>
      </c>
      <c r="CQ36" s="15">
        <f t="shared" si="225"/>
        <v>0.2260667167892667</v>
      </c>
      <c r="CR36" s="15">
        <f t="shared" si="226"/>
        <v>0.2741443142116754</v>
      </c>
      <c r="CS36" s="22">
        <f t="shared" si="227"/>
        <v>0.32710195521380897</v>
      </c>
      <c r="CT36" s="22">
        <f t="shared" si="228"/>
        <v>0.3680213996099055</v>
      </c>
      <c r="CU36" s="22">
        <f t="shared" si="127"/>
        <v>0.3892314782125307</v>
      </c>
      <c r="CV36" s="1">
        <f t="shared" si="47"/>
        <v>0.8722744543915798</v>
      </c>
      <c r="CW36" s="1">
        <f t="shared" si="48"/>
        <v>0.0062594831169221375</v>
      </c>
      <c r="CX36" s="1">
        <f t="shared" si="49"/>
        <v>0.07512676415492198</v>
      </c>
      <c r="CY36" s="1">
        <f t="shared" si="50"/>
        <v>0.13459268662034563</v>
      </c>
      <c r="CZ36" s="1">
        <f t="shared" si="51"/>
        <v>0</v>
      </c>
      <c r="DA36" s="1">
        <f t="shared" si="52"/>
        <v>0.6773454014946259</v>
      </c>
      <c r="DB36" s="1">
        <f t="shared" si="53"/>
        <v>0.03263346731481845</v>
      </c>
      <c r="DC36" s="1">
        <f t="shared" si="54"/>
        <v>0.008712642528344324</v>
      </c>
      <c r="DD36" s="1">
        <f t="shared" si="55"/>
        <v>0</v>
      </c>
      <c r="DE36" s="1">
        <f t="shared" si="56"/>
        <v>0.000592112275013783</v>
      </c>
      <c r="DF36" s="1">
        <f t="shared" si="229"/>
        <v>1.8075370118965721</v>
      </c>
      <c r="DH36" s="15">
        <f t="shared" si="274"/>
        <v>1.7445489087831596</v>
      </c>
      <c r="DI36" s="15">
        <f t="shared" si="274"/>
        <v>0.012518966233844275</v>
      </c>
      <c r="DJ36" s="15">
        <f t="shared" si="231"/>
        <v>0.22538029246476593</v>
      </c>
      <c r="DK36" s="15">
        <f t="shared" si="232"/>
        <v>0.13459268662034563</v>
      </c>
      <c r="DL36" s="15">
        <f t="shared" si="232"/>
        <v>0</v>
      </c>
      <c r="DM36" s="15">
        <f t="shared" si="232"/>
        <v>0.6773454014946259</v>
      </c>
      <c r="DN36" s="15">
        <f t="shared" si="233"/>
        <v>0.03263346731481845</v>
      </c>
      <c r="DO36" s="15">
        <f t="shared" si="233"/>
        <v>0.008712642528344324</v>
      </c>
      <c r="DP36" s="15">
        <f t="shared" si="233"/>
        <v>0</v>
      </c>
      <c r="DQ36" s="15">
        <f t="shared" si="234"/>
        <v>0.001776336825041349</v>
      </c>
      <c r="DR36" s="15">
        <f t="shared" si="235"/>
        <v>2.8375087022649454</v>
      </c>
      <c r="DS36" s="15">
        <f t="shared" si="236"/>
        <v>2.1145309599264674</v>
      </c>
      <c r="DU36" s="22">
        <f t="shared" si="64"/>
        <v>1.844451339363963</v>
      </c>
      <c r="DV36" s="22">
        <f t="shared" si="65"/>
        <v>0.013235870843868883</v>
      </c>
      <c r="DW36" s="22">
        <f t="shared" si="237"/>
        <v>0.155548660636037</v>
      </c>
      <c r="DX36" s="22">
        <f t="shared" si="238"/>
        <v>0.162167076813316</v>
      </c>
      <c r="DY36" s="22">
        <f t="shared" si="68"/>
        <v>0.317715737449353</v>
      </c>
      <c r="DZ36" s="22">
        <f t="shared" si="69"/>
        <v>0.28460040283840166</v>
      </c>
      <c r="EA36" s="22">
        <f t="shared" si="70"/>
        <v>0</v>
      </c>
      <c r="EB36" s="22">
        <f t="shared" si="71"/>
        <v>1.4322678220242098</v>
      </c>
      <c r="EC36" s="22">
        <f t="shared" si="72"/>
        <v>0.06900447696693206</v>
      </c>
      <c r="ED36" s="22">
        <f t="shared" si="73"/>
        <v>0.03684630473791218</v>
      </c>
      <c r="EE36" s="22">
        <f t="shared" si="74"/>
        <v>0</v>
      </c>
      <c r="EF36" s="22">
        <f t="shared" si="75"/>
        <v>0.0025040794745382782</v>
      </c>
      <c r="EG36" s="15">
        <f t="shared" si="239"/>
        <v>4.000626033699179</v>
      </c>
      <c r="EH36" s="15">
        <f t="shared" si="240"/>
        <v>0.0012520673983571428</v>
      </c>
      <c r="EI36" s="15">
        <f t="shared" si="241"/>
        <v>0.0018778072048899475</v>
      </c>
      <c r="EJ36" s="15">
        <f t="shared" si="242"/>
        <v>0.03684630473791218</v>
      </c>
      <c r="EK36" s="15">
        <f t="shared" si="243"/>
        <v>0.013235870843868883</v>
      </c>
      <c r="EL36" s="15">
        <f t="shared" si="244"/>
        <v>0.0025040794745382782</v>
      </c>
      <c r="EM36" s="15">
        <f t="shared" si="245"/>
        <v>0.12281669260086554</v>
      </c>
      <c r="EN36" s="15">
        <f t="shared" si="246"/>
        <v>0.06900447696693206</v>
      </c>
      <c r="EO36" s="15">
        <f t="shared" si="247"/>
        <v>0.7559055922254725</v>
      </c>
      <c r="EP36" s="15">
        <f t="shared" si="248"/>
        <v>0.630601254396991</v>
      </c>
      <c r="EQ36" s="15">
        <f t="shared" si="249"/>
        <v>0.05756579946213194</v>
      </c>
      <c r="ER36" s="15">
        <f t="shared" si="250"/>
        <v>0.5132159573216485</v>
      </c>
      <c r="ES36" s="15">
        <f t="shared" si="251"/>
        <v>0.07160674778172221</v>
      </c>
      <c r="ET36" s="15">
        <f t="shared" si="252"/>
        <v>0.1651583509558712</v>
      </c>
      <c r="EU36" s="15">
        <f t="shared" si="253"/>
        <v>0.5492938039547847</v>
      </c>
      <c r="EV36" s="15">
        <f t="shared" si="254"/>
        <v>1.0003130168495895</v>
      </c>
      <c r="EX36" s="1">
        <f t="shared" si="92"/>
        <v>1350</v>
      </c>
      <c r="EY36" s="1">
        <f t="shared" si="93"/>
        <v>20</v>
      </c>
      <c r="FA36" s="1">
        <f t="shared" si="255"/>
        <v>0.6527737408131854</v>
      </c>
      <c r="FB36" s="1">
        <f t="shared" si="256"/>
        <v>1552.5186100415494</v>
      </c>
      <c r="FD36" s="1">
        <f t="shared" si="257"/>
        <v>1333.857647369071</v>
      </c>
      <c r="FE36" s="1">
        <f t="shared" si="258"/>
        <v>1256.3648728478888</v>
      </c>
      <c r="FF36" s="1">
        <f t="shared" si="259"/>
        <v>1543.4519438746954</v>
      </c>
      <c r="FG36" s="1">
        <f t="shared" si="260"/>
        <v>1371.232303279611</v>
      </c>
      <c r="FH36" s="1">
        <f t="shared" si="261"/>
        <v>0.5341695056450877</v>
      </c>
      <c r="FI36" s="1">
        <f t="shared" si="262"/>
        <v>1739.9622926313277</v>
      </c>
      <c r="FJ36" s="1">
        <f t="shared" si="263"/>
        <v>1492.9202239165902</v>
      </c>
      <c r="FL36" s="1">
        <f t="shared" si="264"/>
        <v>1324.740546646964</v>
      </c>
      <c r="FM36" s="1">
        <f t="shared" si="265"/>
        <v>1276.2743324152084</v>
      </c>
      <c r="FO36" s="1">
        <f t="shared" si="266"/>
        <v>88.95547074621604</v>
      </c>
      <c r="FP36" s="1">
        <f t="shared" si="267"/>
        <v>62.198009225576655</v>
      </c>
      <c r="FR36" s="1">
        <f t="shared" si="268"/>
        <v>25.784200000000002</v>
      </c>
      <c r="FS36" s="1">
        <f t="shared" si="269"/>
        <v>30.7108</v>
      </c>
      <c r="FT36" s="1">
        <f t="shared" si="270"/>
        <v>-6.380000000000003</v>
      </c>
      <c r="FU36" s="1">
        <f t="shared" si="271"/>
        <v>800.8457000290906</v>
      </c>
      <c r="FV36" s="1">
        <f t="shared" si="272"/>
        <v>1727.847095396949</v>
      </c>
      <c r="FX36" s="1">
        <f t="shared" si="112"/>
        <v>1266.2878062838759</v>
      </c>
      <c r="FY36" s="1">
        <f t="shared" si="113"/>
        <v>1446.6286983640393</v>
      </c>
      <c r="GA36" s="1">
        <f t="shared" si="114"/>
        <v>1400.9554476020849</v>
      </c>
      <c r="GC36" s="1">
        <f t="shared" si="128"/>
        <v>22.502017839436014</v>
      </c>
      <c r="GD36" s="1">
        <f t="shared" si="115"/>
        <v>2.5020178394360144</v>
      </c>
      <c r="GE36" s="2">
        <f t="shared" si="116"/>
        <v>20</v>
      </c>
    </row>
    <row r="37" spans="1:187" ht="12.75">
      <c r="A37" s="1" t="s">
        <v>13</v>
      </c>
      <c r="B37" s="1" t="s">
        <v>14</v>
      </c>
      <c r="C37" s="23">
        <v>1</v>
      </c>
      <c r="D37" s="2">
        <v>1360</v>
      </c>
      <c r="F37" s="1">
        <v>202</v>
      </c>
      <c r="G37" s="23">
        <v>54.68</v>
      </c>
      <c r="H37" s="23">
        <v>0</v>
      </c>
      <c r="I37" s="23">
        <v>2.65</v>
      </c>
      <c r="J37" s="23">
        <v>4.39</v>
      </c>
      <c r="K37" s="23">
        <v>0.12</v>
      </c>
      <c r="L37" s="23">
        <v>26.41</v>
      </c>
      <c r="M37" s="23">
        <v>9.15</v>
      </c>
      <c r="N37" s="23">
        <v>0.09</v>
      </c>
      <c r="O37" s="23">
        <v>0</v>
      </c>
      <c r="P37" s="23">
        <v>1.76</v>
      </c>
      <c r="R37" s="23">
        <v>55.98</v>
      </c>
      <c r="S37" s="23">
        <v>0</v>
      </c>
      <c r="T37" s="23">
        <v>2.33</v>
      </c>
      <c r="U37" s="23">
        <v>4.72</v>
      </c>
      <c r="V37" s="23">
        <v>0.1</v>
      </c>
      <c r="W37" s="23">
        <v>31.83</v>
      </c>
      <c r="X37" s="23">
        <v>2.81</v>
      </c>
      <c r="Y37" s="23">
        <v>0.04</v>
      </c>
      <c r="Z37" s="23">
        <v>0</v>
      </c>
      <c r="AA37" s="23">
        <v>1.57</v>
      </c>
      <c r="AC37" s="50">
        <f t="shared" si="117"/>
        <v>1462.8570126340908</v>
      </c>
      <c r="AD37" s="50">
        <f t="shared" si="118"/>
        <v>15.435271878155918</v>
      </c>
      <c r="AF37" s="27">
        <f t="shared" si="119"/>
        <v>1411.6658602842394</v>
      </c>
      <c r="AG37" s="27"/>
      <c r="AH37" s="27">
        <f t="shared" si="120"/>
        <v>1462.8571007718854</v>
      </c>
      <c r="AI37" s="27">
        <f t="shared" si="121"/>
        <v>1426.7210034187692</v>
      </c>
      <c r="AJ37" s="27">
        <f t="shared" si="122"/>
        <v>13.478816045929584</v>
      </c>
      <c r="AK37" s="27">
        <f t="shared" si="123"/>
        <v>15.435271878155918</v>
      </c>
      <c r="AL37" s="29">
        <f t="shared" si="124"/>
        <v>1406.3375516367316</v>
      </c>
      <c r="AM37" s="42">
        <f t="shared" si="125"/>
        <v>1.1209616606447221</v>
      </c>
      <c r="AN37" s="44"/>
      <c r="AO37" s="1">
        <f t="shared" si="126"/>
        <v>0.16057367821919072</v>
      </c>
      <c r="AQ37" s="1">
        <f t="shared" si="0"/>
        <v>0.9100547064707419</v>
      </c>
      <c r="AR37" s="1">
        <f t="shared" si="1"/>
        <v>0</v>
      </c>
      <c r="AS37" s="1">
        <f t="shared" si="2"/>
        <v>0.025990329635841154</v>
      </c>
      <c r="AT37" s="1">
        <f t="shared" si="3"/>
        <v>0.06110257438090147</v>
      </c>
      <c r="AU37" s="1">
        <f t="shared" si="4"/>
        <v>0.0016916299559471366</v>
      </c>
      <c r="AV37" s="1">
        <f t="shared" si="5"/>
        <v>0.6552634451821637</v>
      </c>
      <c r="AW37" s="1">
        <f t="shared" si="6"/>
        <v>0.16316733657409224</v>
      </c>
      <c r="AX37" s="1">
        <f t="shared" si="7"/>
        <v>0.0014521070880573871</v>
      </c>
      <c r="AY37" s="1">
        <f t="shared" si="8"/>
        <v>0</v>
      </c>
      <c r="AZ37" s="1">
        <f t="shared" si="9"/>
        <v>0.011579084489158424</v>
      </c>
      <c r="BA37" s="1">
        <f t="shared" si="201"/>
        <v>1.8303012137769032</v>
      </c>
      <c r="BC37" s="15">
        <f aca="true" t="shared" si="275" ref="BC37:BD39">AQ37*2</f>
        <v>1.8201094129414839</v>
      </c>
      <c r="BD37" s="15">
        <f t="shared" si="275"/>
        <v>0</v>
      </c>
      <c r="BE37" s="15">
        <f t="shared" si="203"/>
        <v>0.07797098890752346</v>
      </c>
      <c r="BF37" s="15">
        <f aca="true" t="shared" si="276" ref="BF37:BK39">AT37</f>
        <v>0.06110257438090147</v>
      </c>
      <c r="BG37" s="15">
        <f t="shared" si="276"/>
        <v>0.0016916299559471366</v>
      </c>
      <c r="BH37" s="15">
        <f t="shared" si="276"/>
        <v>0.6552634451821637</v>
      </c>
      <c r="BI37" s="15">
        <f t="shared" si="276"/>
        <v>0.16316733657409224</v>
      </c>
      <c r="BJ37" s="15">
        <f t="shared" si="276"/>
        <v>0.0014521070880573871</v>
      </c>
      <c r="BK37" s="15">
        <f t="shared" si="276"/>
        <v>0</v>
      </c>
      <c r="BL37" s="15">
        <f t="shared" si="206"/>
        <v>0.03473725346747527</v>
      </c>
      <c r="BM37" s="15">
        <f t="shared" si="207"/>
        <v>2.8154947484976445</v>
      </c>
      <c r="BN37" s="15">
        <f t="shared" si="208"/>
        <v>2.131064177335659</v>
      </c>
      <c r="BP37" s="22">
        <f t="shared" si="17"/>
        <v>1.9393849843755162</v>
      </c>
      <c r="BQ37" s="22">
        <f t="shared" si="18"/>
        <v>0</v>
      </c>
      <c r="BR37" s="22">
        <f t="shared" si="209"/>
        <v>0.06061501562448379</v>
      </c>
      <c r="BS37" s="22">
        <f t="shared" si="210"/>
        <v>0.05015910526368905</v>
      </c>
      <c r="BT37" s="22">
        <f t="shared" si="21"/>
        <v>0.11077412088817284</v>
      </c>
      <c r="BU37" s="22">
        <f t="shared" si="22"/>
        <v>0.1302135074061267</v>
      </c>
      <c r="BV37" s="22">
        <f t="shared" si="23"/>
        <v>0.0036049720004268414</v>
      </c>
      <c r="BW37" s="22">
        <f t="shared" si="24"/>
        <v>1.3964084547452573</v>
      </c>
      <c r="BX37" s="22">
        <f t="shared" si="25"/>
        <v>0.3477200658843185</v>
      </c>
      <c r="BY37" s="22">
        <f t="shared" si="26"/>
        <v>0.006189066794028589</v>
      </c>
      <c r="BZ37" s="22">
        <f t="shared" si="27"/>
        <v>0</v>
      </c>
      <c r="CA37" s="22">
        <f t="shared" si="28"/>
        <v>0.04935154432237697</v>
      </c>
      <c r="CB37" s="15">
        <f t="shared" si="211"/>
        <v>3.983646716416224</v>
      </c>
      <c r="CC37" s="15">
        <f t="shared" si="212"/>
        <v>0</v>
      </c>
      <c r="CD37" s="15">
        <f t="shared" si="213"/>
        <v>-0.04926124653489694</v>
      </c>
      <c r="CE37" s="15">
        <f t="shared" si="214"/>
        <v>0.006189066794028589</v>
      </c>
      <c r="CF37" s="15">
        <f t="shared" si="215"/>
        <v>0.043970038469660466</v>
      </c>
      <c r="CG37" s="15">
        <f t="shared" si="216"/>
        <v>0.008322488577411663</v>
      </c>
      <c r="CH37" s="15">
        <f t="shared" si="217"/>
        <v>0.024675772161188485</v>
      </c>
      <c r="CI37" s="15">
        <f t="shared" si="218"/>
        <v>0.2707517666760578</v>
      </c>
      <c r="CJ37" s="15">
        <f t="shared" si="219"/>
        <v>0.627935097737663</v>
      </c>
      <c r="CK37" s="15">
        <f t="shared" si="220"/>
        <v>0.5730221184468911</v>
      </c>
      <c r="CL37" s="15">
        <f t="shared" si="221"/>
        <v>0.24707450096820335</v>
      </c>
      <c r="CM37" s="15">
        <f t="shared" si="222"/>
        <v>0.98184423041601</v>
      </c>
      <c r="CN37" s="15">
        <f t="shared" si="223"/>
        <v>0.2707517666760579</v>
      </c>
      <c r="CO37" s="15"/>
      <c r="CP37" s="1">
        <f t="shared" si="224"/>
        <v>0.9147048119086247</v>
      </c>
      <c r="CQ37" s="15">
        <f t="shared" si="225"/>
        <v>0.1302135074061267</v>
      </c>
      <c r="CR37" s="15">
        <f t="shared" si="226"/>
        <v>0.5040876775549551</v>
      </c>
      <c r="CS37" s="22">
        <f t="shared" si="227"/>
        <v>0.31023579888047936</v>
      </c>
      <c r="CT37" s="22">
        <f t="shared" si="228"/>
        <v>0.6135678119951243</v>
      </c>
      <c r="CU37" s="22">
        <f t="shared" si="127"/>
        <v>0.5923636525970497</v>
      </c>
      <c r="CV37" s="1">
        <f t="shared" si="47"/>
        <v>0.9316909741812752</v>
      </c>
      <c r="CW37" s="1">
        <f t="shared" si="48"/>
        <v>0</v>
      </c>
      <c r="CX37" s="1">
        <f t="shared" si="49"/>
        <v>0.022851874736418826</v>
      </c>
      <c r="CY37" s="1">
        <f t="shared" si="50"/>
        <v>0.06569570639586673</v>
      </c>
      <c r="CZ37" s="1">
        <f t="shared" si="51"/>
        <v>0.0014096916299559472</v>
      </c>
      <c r="DA37" s="1">
        <f t="shared" si="52"/>
        <v>0.7897400780063715</v>
      </c>
      <c r="DB37" s="1">
        <f t="shared" si="53"/>
        <v>0.050109313199256746</v>
      </c>
      <c r="DC37" s="1">
        <f t="shared" si="54"/>
        <v>0.0006453809280255055</v>
      </c>
      <c r="DD37" s="1">
        <f t="shared" si="55"/>
        <v>0</v>
      </c>
      <c r="DE37" s="1">
        <f t="shared" si="56"/>
        <v>0.01032906968635155</v>
      </c>
      <c r="DF37" s="1">
        <f t="shared" si="229"/>
        <v>1.872472088763522</v>
      </c>
      <c r="DH37" s="15">
        <f aca="true" t="shared" si="277" ref="DH37:DI39">CV37*2</f>
        <v>1.8633819483625504</v>
      </c>
      <c r="DI37" s="15">
        <f t="shared" si="277"/>
        <v>0</v>
      </c>
      <c r="DJ37" s="15">
        <f t="shared" si="231"/>
        <v>0.06855562420925648</v>
      </c>
      <c r="DK37" s="15">
        <f aca="true" t="shared" si="278" ref="DK37:DP39">CY37</f>
        <v>0.06569570639586673</v>
      </c>
      <c r="DL37" s="15">
        <f t="shared" si="278"/>
        <v>0.0014096916299559472</v>
      </c>
      <c r="DM37" s="15">
        <f t="shared" si="278"/>
        <v>0.7897400780063715</v>
      </c>
      <c r="DN37" s="15">
        <f t="shared" si="278"/>
        <v>0.050109313199256746</v>
      </c>
      <c r="DO37" s="15">
        <f t="shared" si="278"/>
        <v>0.0006453809280255055</v>
      </c>
      <c r="DP37" s="15">
        <f t="shared" si="278"/>
        <v>0</v>
      </c>
      <c r="DQ37" s="15">
        <f t="shared" si="234"/>
        <v>0.03098720905905465</v>
      </c>
      <c r="DR37" s="15">
        <f t="shared" si="235"/>
        <v>2.870524951790338</v>
      </c>
      <c r="DS37" s="15">
        <f t="shared" si="236"/>
        <v>2.0902100141152986</v>
      </c>
      <c r="DU37" s="22">
        <f t="shared" si="64"/>
        <v>1.9474298042945395</v>
      </c>
      <c r="DV37" s="22">
        <f t="shared" si="65"/>
        <v>0</v>
      </c>
      <c r="DW37" s="22">
        <f t="shared" si="237"/>
        <v>0.05257019570546051</v>
      </c>
      <c r="DX37" s="22">
        <f t="shared" si="238"/>
        <v>0.042960239125281546</v>
      </c>
      <c r="DY37" s="22">
        <f t="shared" si="68"/>
        <v>0.09553043483074206</v>
      </c>
      <c r="DZ37" s="22">
        <f t="shared" si="69"/>
        <v>0.13731782339301912</v>
      </c>
      <c r="EA37" s="22">
        <f t="shared" si="70"/>
        <v>0.002946551561748439</v>
      </c>
      <c r="EB37" s="22">
        <f t="shared" si="71"/>
        <v>1.6507226195971147</v>
      </c>
      <c r="EC37" s="22">
        <f t="shared" si="72"/>
        <v>0.10473898824952636</v>
      </c>
      <c r="ED37" s="22">
        <f t="shared" si="73"/>
        <v>0.0026979633573558726</v>
      </c>
      <c r="EE37" s="22">
        <f t="shared" si="74"/>
        <v>0</v>
      </c>
      <c r="EF37" s="22">
        <f t="shared" si="75"/>
        <v>0.043179849789813554</v>
      </c>
      <c r="EG37" s="15">
        <f t="shared" si="239"/>
        <v>3.98456403507386</v>
      </c>
      <c r="EH37" s="15">
        <f t="shared" si="240"/>
        <v>0</v>
      </c>
      <c r="EI37" s="15">
        <f t="shared" si="241"/>
        <v>-0.04648728881834785</v>
      </c>
      <c r="EJ37" s="15">
        <f t="shared" si="242"/>
        <v>0.0026979633573558726</v>
      </c>
      <c r="EK37" s="15">
        <f t="shared" si="243"/>
        <v>0</v>
      </c>
      <c r="EL37" s="15">
        <f t="shared" si="244"/>
        <v>0.043179849789813554</v>
      </c>
      <c r="EM37" s="15">
        <f t="shared" si="245"/>
        <v>-0.0029175740218878796</v>
      </c>
      <c r="EN37" s="15">
        <f t="shared" si="246"/>
        <v>0.10473898824952636</v>
      </c>
      <c r="EO37" s="15">
        <f t="shared" si="247"/>
        <v>0.8445827901621219</v>
      </c>
      <c r="EP37" s="15">
        <f t="shared" si="248"/>
        <v>0.7784377664852278</v>
      </c>
      <c r="EQ37" s="15">
        <f t="shared" si="249"/>
        <v>0.0965361655797334</v>
      </c>
      <c r="ER37" s="15">
        <f t="shared" si="250"/>
        <v>0.6919628619580848</v>
      </c>
      <c r="ES37" s="15">
        <f t="shared" si="251"/>
        <v>0.10427976885947522</v>
      </c>
      <c r="ET37" s="15">
        <f t="shared" si="252"/>
        <v>0.07679794041089082</v>
      </c>
      <c r="EU37" s="15">
        <f t="shared" si="253"/>
        <v>0.7449540229902005</v>
      </c>
      <c r="EV37" s="15">
        <f t="shared" si="254"/>
        <v>0.9922820175369298</v>
      </c>
      <c r="EX37" s="1">
        <f t="shared" si="92"/>
        <v>1360</v>
      </c>
      <c r="EY37" s="1">
        <f t="shared" si="93"/>
        <v>10</v>
      </c>
      <c r="FA37" s="1">
        <f t="shared" si="255"/>
        <v>0.7227601451281687</v>
      </c>
      <c r="FB37" s="1">
        <f t="shared" si="256"/>
        <v>1552.5138799946787</v>
      </c>
      <c r="FD37" s="1">
        <f t="shared" si="257"/>
        <v>1442.5294026054598</v>
      </c>
      <c r="FE37" s="1">
        <f t="shared" si="258"/>
        <v>1377.8817656873637</v>
      </c>
      <c r="FF37" s="1">
        <f t="shared" si="259"/>
        <v>1673.5394739970259</v>
      </c>
      <c r="FG37" s="1">
        <f t="shared" si="260"/>
        <v>1582.7975646993953</v>
      </c>
      <c r="FH37" s="1">
        <f t="shared" si="261"/>
        <v>0.7284894974399506</v>
      </c>
      <c r="FI37" s="1">
        <f t="shared" si="262"/>
        <v>2034.0547122380895</v>
      </c>
      <c r="FJ37" s="1">
        <f t="shared" si="263"/>
        <v>1705.6406908796025</v>
      </c>
      <c r="FL37" s="1">
        <f t="shared" si="264"/>
        <v>1588.0525373051546</v>
      </c>
      <c r="FM37" s="1">
        <f t="shared" si="265"/>
        <v>682.4467539653298</v>
      </c>
      <c r="FO37" s="1">
        <f t="shared" si="266"/>
        <v>53.882839502228634</v>
      </c>
      <c r="FP37" s="1">
        <f t="shared" si="267"/>
        <v>40.40083632736837</v>
      </c>
      <c r="FR37" s="1">
        <f t="shared" si="268"/>
        <v>26.0071</v>
      </c>
      <c r="FS37" s="1">
        <f t="shared" si="269"/>
        <v>31.5754</v>
      </c>
      <c r="FT37" s="1">
        <f t="shared" si="270"/>
        <v>11.11</v>
      </c>
      <c r="FU37" s="1">
        <f t="shared" si="271"/>
        <v>1178.5478046646108</v>
      </c>
      <c r="FV37" s="1">
        <f t="shared" si="272"/>
        <v>1445.6641601037204</v>
      </c>
      <c r="FX37" s="1">
        <f t="shared" si="112"/>
        <v>1358.5984334004588</v>
      </c>
      <c r="FY37" s="1">
        <f t="shared" si="113"/>
        <v>1465.0678318243208</v>
      </c>
      <c r="GA37" s="1">
        <f t="shared" si="114"/>
        <v>1629.0729694746497</v>
      </c>
      <c r="GC37" s="1">
        <f t="shared" si="128"/>
        <v>13.478816045929584</v>
      </c>
      <c r="GD37" s="1">
        <f t="shared" si="115"/>
        <v>3.478816045929584</v>
      </c>
      <c r="GE37" s="2">
        <f t="shared" si="116"/>
        <v>10</v>
      </c>
    </row>
    <row r="38" spans="1:187" ht="12.75">
      <c r="A38" s="1" t="s">
        <v>13</v>
      </c>
      <c r="B38" s="1" t="s">
        <v>15</v>
      </c>
      <c r="C38" s="23">
        <v>1</v>
      </c>
      <c r="D38" s="2">
        <v>1270</v>
      </c>
      <c r="F38" s="1">
        <v>200</v>
      </c>
      <c r="G38" s="23">
        <v>52.98</v>
      </c>
      <c r="H38" s="23">
        <v>0.14</v>
      </c>
      <c r="I38" s="23">
        <v>5.04</v>
      </c>
      <c r="J38" s="23">
        <v>3.48</v>
      </c>
      <c r="K38" s="23">
        <v>0.11</v>
      </c>
      <c r="L38" s="23">
        <v>19.61</v>
      </c>
      <c r="M38" s="23">
        <v>17.76</v>
      </c>
      <c r="N38" s="23">
        <v>0.23</v>
      </c>
      <c r="O38" s="23">
        <v>0</v>
      </c>
      <c r="P38" s="23">
        <v>1.36</v>
      </c>
      <c r="R38" s="23">
        <v>56.89</v>
      </c>
      <c r="S38" s="23">
        <v>0.04</v>
      </c>
      <c r="T38" s="23">
        <v>3.19</v>
      </c>
      <c r="U38" s="23">
        <v>5.48</v>
      </c>
      <c r="V38" s="23">
        <v>0.1</v>
      </c>
      <c r="W38" s="23">
        <v>33.72</v>
      </c>
      <c r="X38" s="23">
        <v>1.05</v>
      </c>
      <c r="Y38" s="23">
        <v>0</v>
      </c>
      <c r="Z38" s="23">
        <v>0</v>
      </c>
      <c r="AA38" s="23">
        <v>0.84</v>
      </c>
      <c r="AC38" s="50">
        <f t="shared" si="117"/>
        <v>1178.0096497366435</v>
      </c>
      <c r="AD38" s="50">
        <f t="shared" si="118"/>
        <v>5.366607317741895</v>
      </c>
      <c r="AF38" s="27">
        <f t="shared" si="119"/>
        <v>1253.4273402289682</v>
      </c>
      <c r="AG38" s="27"/>
      <c r="AH38" s="27">
        <f t="shared" si="120"/>
        <v>1178.0096495140192</v>
      </c>
      <c r="AI38" s="27">
        <f t="shared" si="121"/>
        <v>1204.329039286826</v>
      </c>
      <c r="AJ38" s="27">
        <f t="shared" si="122"/>
        <v>10.816913618501887</v>
      </c>
      <c r="AK38" s="27">
        <f t="shared" si="123"/>
        <v>5.366607317741895</v>
      </c>
      <c r="AL38" s="29">
        <f t="shared" si="124"/>
        <v>1165.2529056701508</v>
      </c>
      <c r="AM38" s="42">
        <f t="shared" si="125"/>
        <v>1.0919648473704386</v>
      </c>
      <c r="AN38" s="44"/>
      <c r="AO38" s="1">
        <f t="shared" si="126"/>
        <v>0.11906822682739959</v>
      </c>
      <c r="AQ38" s="1">
        <f t="shared" si="0"/>
        <v>0.881761125618506</v>
      </c>
      <c r="AR38" s="1">
        <f t="shared" si="1"/>
        <v>0.0017526552727381987</v>
      </c>
      <c r="AS38" s="1">
        <f t="shared" si="2"/>
        <v>0.049430664665901666</v>
      </c>
      <c r="AT38" s="1">
        <f t="shared" si="3"/>
        <v>0.04843666488508819</v>
      </c>
      <c r="AU38" s="1">
        <f t="shared" si="4"/>
        <v>0.0015506607929515418</v>
      </c>
      <c r="AV38" s="1">
        <f t="shared" si="5"/>
        <v>0.48654737448020563</v>
      </c>
      <c r="AW38" s="1">
        <f t="shared" si="6"/>
        <v>0.31670512541594303</v>
      </c>
      <c r="AX38" s="1">
        <f t="shared" si="7"/>
        <v>0.0037109403361466563</v>
      </c>
      <c r="AY38" s="1">
        <f t="shared" si="8"/>
        <v>0</v>
      </c>
      <c r="AZ38" s="1">
        <f t="shared" si="9"/>
        <v>0.008947474377986056</v>
      </c>
      <c r="BA38" s="1">
        <f t="shared" si="201"/>
        <v>1.7988426858454667</v>
      </c>
      <c r="BC38" s="15">
        <f t="shared" si="275"/>
        <v>1.763522251237012</v>
      </c>
      <c r="BD38" s="15">
        <f t="shared" si="275"/>
        <v>0.0035053105454763973</v>
      </c>
      <c r="BE38" s="15">
        <f t="shared" si="203"/>
        <v>0.14829199399770499</v>
      </c>
      <c r="BF38" s="15">
        <f t="shared" si="276"/>
        <v>0.04843666488508819</v>
      </c>
      <c r="BG38" s="15">
        <f t="shared" si="276"/>
        <v>0.0015506607929515418</v>
      </c>
      <c r="BH38" s="15">
        <f t="shared" si="276"/>
        <v>0.48654737448020563</v>
      </c>
      <c r="BI38" s="15">
        <f t="shared" si="276"/>
        <v>0.31670512541594303</v>
      </c>
      <c r="BJ38" s="15">
        <f t="shared" si="276"/>
        <v>0.0037109403361466563</v>
      </c>
      <c r="BK38" s="15">
        <f t="shared" si="276"/>
        <v>0</v>
      </c>
      <c r="BL38" s="15">
        <f t="shared" si="206"/>
        <v>0.026842423133958168</v>
      </c>
      <c r="BM38" s="15">
        <f t="shared" si="207"/>
        <v>2.799112744824487</v>
      </c>
      <c r="BN38" s="15">
        <f t="shared" si="208"/>
        <v>2.143536379909634</v>
      </c>
      <c r="BP38" s="22">
        <f t="shared" si="17"/>
        <v>1.8900870511533363</v>
      </c>
      <c r="BQ38" s="22">
        <f t="shared" si="18"/>
        <v>0.003756880338554771</v>
      </c>
      <c r="BR38" s="22">
        <f t="shared" si="209"/>
        <v>0.1099129488466637</v>
      </c>
      <c r="BS38" s="22">
        <f t="shared" si="210"/>
        <v>0.10199990714228416</v>
      </c>
      <c r="BT38" s="22">
        <f t="shared" si="21"/>
        <v>0.21191285598894785</v>
      </c>
      <c r="BU38" s="22">
        <f t="shared" si="22"/>
        <v>0.10382575330267803</v>
      </c>
      <c r="BV38" s="22">
        <f t="shared" si="23"/>
        <v>0.0033238978225911507</v>
      </c>
      <c r="BW38" s="22">
        <f t="shared" si="24"/>
        <v>1.042931997747837</v>
      </c>
      <c r="BX38" s="22">
        <f t="shared" si="25"/>
        <v>0.6788689580329171</v>
      </c>
      <c r="BY38" s="22">
        <f t="shared" si="26"/>
        <v>0.01590907122840889</v>
      </c>
      <c r="BZ38" s="22">
        <f t="shared" si="27"/>
        <v>0</v>
      </c>
      <c r="CA38" s="22">
        <f t="shared" si="28"/>
        <v>0.03835847367504487</v>
      </c>
      <c r="CB38" s="15">
        <f t="shared" si="211"/>
        <v>3.9889749392903164</v>
      </c>
      <c r="CC38" s="15">
        <f t="shared" si="212"/>
        <v>0</v>
      </c>
      <c r="CD38" s="15">
        <f t="shared" si="213"/>
        <v>-0.03316659806836064</v>
      </c>
      <c r="CE38" s="15">
        <f t="shared" si="214"/>
        <v>0.01590907122840889</v>
      </c>
      <c r="CF38" s="15">
        <f t="shared" si="215"/>
        <v>0.08609083591387527</v>
      </c>
      <c r="CG38" s="15">
        <f t="shared" si="216"/>
        <v>0.011911056466394211</v>
      </c>
      <c r="CH38" s="15">
        <f t="shared" si="217"/>
        <v>0.019179236837522436</v>
      </c>
      <c r="CI38" s="15">
        <f t="shared" si="218"/>
        <v>0.5616878288151252</v>
      </c>
      <c r="CJ38" s="15">
        <f t="shared" si="219"/>
        <v>0.29253496111769495</v>
      </c>
      <c r="CK38" s="15">
        <f t="shared" si="220"/>
        <v>0.2652803578845956</v>
      </c>
      <c r="CL38" s="15">
        <f t="shared" si="221"/>
        <v>0.5093570617275694</v>
      </c>
      <c r="CM38" s="15">
        <f t="shared" si="222"/>
        <v>0.987312990379021</v>
      </c>
      <c r="CN38" s="15">
        <f t="shared" si="223"/>
        <v>0.5616878288151252</v>
      </c>
      <c r="CO38" s="15"/>
      <c r="CP38" s="1">
        <f t="shared" si="224"/>
        <v>0.9094614767525522</v>
      </c>
      <c r="CQ38" s="15">
        <f t="shared" si="225"/>
        <v>0.10382575330267803</v>
      </c>
      <c r="CR38" s="15">
        <f t="shared" si="226"/>
        <v>0.2980738170179935</v>
      </c>
      <c r="CS38" s="22">
        <f t="shared" si="227"/>
        <v>0.5339199432974738</v>
      </c>
      <c r="CT38" s="22">
        <f t="shared" si="228"/>
        <v>0.4208980025568483</v>
      </c>
      <c r="CU38" s="22">
        <f t="shared" si="127"/>
        <v>0.2645999174724794</v>
      </c>
      <c r="CV38" s="1">
        <f t="shared" si="47"/>
        <v>0.9468363615786487</v>
      </c>
      <c r="CW38" s="1">
        <f t="shared" si="48"/>
        <v>0.000500758649353771</v>
      </c>
      <c r="CX38" s="1">
        <f t="shared" si="49"/>
        <v>0.031286472278616334</v>
      </c>
      <c r="CY38" s="1">
        <f t="shared" si="50"/>
        <v>0.07627382861215037</v>
      </c>
      <c r="CZ38" s="1">
        <f t="shared" si="51"/>
        <v>0.0014096916299559472</v>
      </c>
      <c r="DA38" s="1">
        <f t="shared" si="52"/>
        <v>0.8366332211867686</v>
      </c>
      <c r="DB38" s="1">
        <f t="shared" si="53"/>
        <v>0.018724120590469604</v>
      </c>
      <c r="DC38" s="1">
        <f t="shared" si="54"/>
        <v>0</v>
      </c>
      <c r="DD38" s="1">
        <f t="shared" si="55"/>
        <v>0</v>
      </c>
      <c r="DE38" s="1">
        <f t="shared" si="56"/>
        <v>0.005526381233461975</v>
      </c>
      <c r="DF38" s="1">
        <f t="shared" si="229"/>
        <v>1.9171908357594254</v>
      </c>
      <c r="DH38" s="15">
        <f t="shared" si="277"/>
        <v>1.8936727231572974</v>
      </c>
      <c r="DI38" s="15">
        <f t="shared" si="277"/>
        <v>0.001001517298707542</v>
      </c>
      <c r="DJ38" s="15">
        <f t="shared" si="231"/>
        <v>0.093859416835849</v>
      </c>
      <c r="DK38" s="15">
        <f t="shared" si="278"/>
        <v>0.07627382861215037</v>
      </c>
      <c r="DL38" s="15">
        <f t="shared" si="278"/>
        <v>0.0014096916299559472</v>
      </c>
      <c r="DM38" s="15">
        <f t="shared" si="278"/>
        <v>0.8366332211867686</v>
      </c>
      <c r="DN38" s="15">
        <f t="shared" si="278"/>
        <v>0.018724120590469604</v>
      </c>
      <c r="DO38" s="15">
        <f t="shared" si="278"/>
        <v>0</v>
      </c>
      <c r="DP38" s="15">
        <f t="shared" si="278"/>
        <v>0</v>
      </c>
      <c r="DQ38" s="15">
        <f t="shared" si="234"/>
        <v>0.016579143700385924</v>
      </c>
      <c r="DR38" s="15">
        <f t="shared" si="235"/>
        <v>2.938153663011584</v>
      </c>
      <c r="DS38" s="15">
        <f t="shared" si="236"/>
        <v>2.0420987763621756</v>
      </c>
      <c r="DU38" s="22">
        <f t="shared" si="64"/>
        <v>1.933533375394973</v>
      </c>
      <c r="DV38" s="22">
        <f t="shared" si="65"/>
        <v>0.0010225986250981115</v>
      </c>
      <c r="DW38" s="22">
        <f t="shared" si="237"/>
        <v>0.06646662460502695</v>
      </c>
      <c r="DX38" s="22">
        <f t="shared" si="238"/>
        <v>0.06131350890867615</v>
      </c>
      <c r="DY38" s="22">
        <f t="shared" si="68"/>
        <v>0.1277801335137031</v>
      </c>
      <c r="DZ38" s="22">
        <f t="shared" si="69"/>
        <v>0.1557586920773306</v>
      </c>
      <c r="EA38" s="22">
        <f t="shared" si="70"/>
        <v>0.002878729552581041</v>
      </c>
      <c r="EB38" s="22">
        <f t="shared" si="71"/>
        <v>1.7084876772494457</v>
      </c>
      <c r="EC38" s="22">
        <f t="shared" si="72"/>
        <v>0.0382365037462558</v>
      </c>
      <c r="ED38" s="22">
        <f t="shared" si="73"/>
        <v>0</v>
      </c>
      <c r="EE38" s="22">
        <f t="shared" si="74"/>
        <v>0</v>
      </c>
      <c r="EF38" s="22">
        <f t="shared" si="75"/>
        <v>0.02257083270912718</v>
      </c>
      <c r="EG38" s="15">
        <f t="shared" si="239"/>
        <v>3.990268542868514</v>
      </c>
      <c r="EH38" s="15">
        <f t="shared" si="240"/>
        <v>0</v>
      </c>
      <c r="EI38" s="15">
        <f t="shared" si="241"/>
        <v>-0.02926557055578094</v>
      </c>
      <c r="EJ38" s="15">
        <f t="shared" si="242"/>
        <v>0</v>
      </c>
      <c r="EK38" s="15">
        <f t="shared" si="243"/>
        <v>0.0010225986250981115</v>
      </c>
      <c r="EL38" s="15">
        <f t="shared" si="244"/>
        <v>0.02257083270912718</v>
      </c>
      <c r="EM38" s="15">
        <f t="shared" si="245"/>
        <v>0.03874267619954897</v>
      </c>
      <c r="EN38" s="15">
        <f t="shared" si="246"/>
        <v>0.0382365037462558</v>
      </c>
      <c r="EO38" s="15">
        <f t="shared" si="247"/>
        <v>0.8945616601542272</v>
      </c>
      <c r="EP38" s="15">
        <f t="shared" si="248"/>
        <v>0.8185566001070915</v>
      </c>
      <c r="EQ38" s="15">
        <f t="shared" si="249"/>
        <v>0.03498779782393216</v>
      </c>
      <c r="ER38" s="15">
        <f t="shared" si="250"/>
        <v>0.7372429850979715</v>
      </c>
      <c r="ES38" s="15">
        <f t="shared" si="251"/>
        <v>0.03928791038306494</v>
      </c>
      <c r="ET38" s="15">
        <f t="shared" si="252"/>
        <v>0.08355048701721692</v>
      </c>
      <c r="EU38" s="15">
        <f t="shared" si="253"/>
        <v>0.7600420972852063</v>
      </c>
      <c r="EV38" s="15">
        <f t="shared" si="254"/>
        <v>0.9951342714342573</v>
      </c>
      <c r="EX38" s="1">
        <f t="shared" si="92"/>
        <v>1270</v>
      </c>
      <c r="EY38" s="1">
        <f t="shared" si="93"/>
        <v>10</v>
      </c>
      <c r="FA38" s="1">
        <f t="shared" si="255"/>
        <v>0.31889361992379023</v>
      </c>
      <c r="FB38" s="1">
        <f t="shared" si="256"/>
        <v>1316.9197473883423</v>
      </c>
      <c r="FD38" s="1">
        <f t="shared" si="257"/>
        <v>1206.4534046689378</v>
      </c>
      <c r="FE38" s="1">
        <f t="shared" si="258"/>
        <v>1076.7986804827628</v>
      </c>
      <c r="FF38" s="1">
        <f t="shared" si="259"/>
        <v>1278.6380748880702</v>
      </c>
      <c r="FG38" s="1">
        <f t="shared" si="260"/>
        <v>1152.5054884052993</v>
      </c>
      <c r="FH38" s="1">
        <f t="shared" si="261"/>
        <v>0.40430878698477246</v>
      </c>
      <c r="FI38" s="1">
        <f t="shared" si="262"/>
        <v>1533.250754814932</v>
      </c>
      <c r="FJ38" s="1">
        <f t="shared" si="263"/>
        <v>1113.8442103106668</v>
      </c>
      <c r="FL38" s="1">
        <f t="shared" si="264"/>
        <v>1394.4831209844065</v>
      </c>
      <c r="FM38" s="1">
        <f t="shared" si="265"/>
        <v>769.8038565819558</v>
      </c>
      <c r="FO38" s="1">
        <f t="shared" si="266"/>
        <v>79.36418271405445</v>
      </c>
      <c r="FP38" s="1">
        <f t="shared" si="267"/>
        <v>56.45933480311021</v>
      </c>
      <c r="FR38" s="1">
        <f t="shared" si="268"/>
        <v>26.0071</v>
      </c>
      <c r="FS38" s="1">
        <f t="shared" si="269"/>
        <v>31.5754</v>
      </c>
      <c r="FT38" s="1">
        <f t="shared" si="270"/>
        <v>11.11</v>
      </c>
      <c r="FU38" s="1">
        <f t="shared" si="271"/>
        <v>1014.0409763375686</v>
      </c>
      <c r="FV38" s="1">
        <f t="shared" si="272"/>
        <v>1067.8042627498926</v>
      </c>
      <c r="FX38" s="1">
        <f t="shared" si="112"/>
        <v>1036.6299754265224</v>
      </c>
      <c r="FY38" s="1" t="e">
        <f t="shared" si="113"/>
        <v>#NUM!</v>
      </c>
      <c r="GA38" s="1">
        <f t="shared" si="114"/>
        <v>1371.1773351913048</v>
      </c>
      <c r="GC38" s="1">
        <f t="shared" si="128"/>
        <v>10.816913618501887</v>
      </c>
      <c r="GD38" s="1">
        <f t="shared" si="115"/>
        <v>0.8169136185018875</v>
      </c>
      <c r="GE38" s="2">
        <f t="shared" si="116"/>
        <v>10</v>
      </c>
    </row>
    <row r="39" spans="1:187" ht="12.75">
      <c r="A39" s="1" t="s">
        <v>13</v>
      </c>
      <c r="B39" s="1" t="s">
        <v>16</v>
      </c>
      <c r="C39" s="23">
        <v>1</v>
      </c>
      <c r="D39" s="2">
        <v>1300</v>
      </c>
      <c r="F39" s="1">
        <v>199</v>
      </c>
      <c r="G39" s="23">
        <v>53.77</v>
      </c>
      <c r="H39" s="23">
        <v>0.11</v>
      </c>
      <c r="I39" s="23">
        <v>4.31</v>
      </c>
      <c r="J39" s="23">
        <v>3.6</v>
      </c>
      <c r="K39" s="23">
        <v>0.11</v>
      </c>
      <c r="L39" s="23">
        <v>20.51</v>
      </c>
      <c r="M39" s="23">
        <v>16.95</v>
      </c>
      <c r="N39" s="23">
        <v>0.23</v>
      </c>
      <c r="O39" s="23">
        <v>0</v>
      </c>
      <c r="P39" s="23">
        <v>1.51</v>
      </c>
      <c r="R39" s="23">
        <v>56.66</v>
      </c>
      <c r="S39" s="23">
        <v>0.05</v>
      </c>
      <c r="T39" s="23">
        <v>3.47</v>
      </c>
      <c r="U39" s="23">
        <v>5.4</v>
      </c>
      <c r="V39" s="23">
        <v>0.12</v>
      </c>
      <c r="W39" s="23">
        <v>32.82</v>
      </c>
      <c r="X39" s="23">
        <v>1.56</v>
      </c>
      <c r="Y39" s="23">
        <v>0.04</v>
      </c>
      <c r="Z39" s="23">
        <v>0</v>
      </c>
      <c r="AA39" s="23">
        <v>0.94</v>
      </c>
      <c r="AC39" s="50">
        <f t="shared" si="117"/>
        <v>1265.2992096703863</v>
      </c>
      <c r="AD39" s="50">
        <f t="shared" si="118"/>
        <v>10.321434467912807</v>
      </c>
      <c r="AF39" s="27">
        <f t="shared" si="119"/>
        <v>1291.1186310579787</v>
      </c>
      <c r="AG39" s="27"/>
      <c r="AH39" s="27">
        <f t="shared" si="120"/>
        <v>1265.299209683689</v>
      </c>
      <c r="AI39" s="27">
        <f t="shared" si="121"/>
        <v>1265.4249666929434</v>
      </c>
      <c r="AJ39" s="27">
        <f t="shared" si="122"/>
        <v>10.289105366948261</v>
      </c>
      <c r="AK39" s="27">
        <f t="shared" si="123"/>
        <v>10.321434467912807</v>
      </c>
      <c r="AL39" s="29">
        <f t="shared" si="124"/>
        <v>1245.2280397092077</v>
      </c>
      <c r="AM39" s="42">
        <f t="shared" si="125"/>
        <v>1.066796684544125</v>
      </c>
      <c r="AN39" s="44"/>
      <c r="AO39" s="1">
        <f t="shared" si="126"/>
        <v>0.1601941348818498</v>
      </c>
      <c r="AQ39" s="1">
        <f t="shared" si="0"/>
        <v>0.8949093190733687</v>
      </c>
      <c r="AR39" s="1">
        <f t="shared" si="1"/>
        <v>0.00137708628572287</v>
      </c>
      <c r="AS39" s="1">
        <f t="shared" si="2"/>
        <v>0.04227106442659448</v>
      </c>
      <c r="AT39" s="1">
        <f t="shared" si="3"/>
        <v>0.05010689470871192</v>
      </c>
      <c r="AU39" s="1">
        <f t="shared" si="4"/>
        <v>0.0015506607929515418</v>
      </c>
      <c r="AV39" s="1">
        <f t="shared" si="5"/>
        <v>0.5088774426613472</v>
      </c>
      <c r="AW39" s="1">
        <f t="shared" si="6"/>
        <v>0.3022608038175807</v>
      </c>
      <c r="AX39" s="1">
        <f t="shared" si="7"/>
        <v>0.0037109403361466563</v>
      </c>
      <c r="AY39" s="1">
        <f t="shared" si="8"/>
        <v>0</v>
      </c>
      <c r="AZ39" s="1">
        <f t="shared" si="9"/>
        <v>0.009934328169675695</v>
      </c>
      <c r="BA39" s="1">
        <f t="shared" si="201"/>
        <v>1.8149985402720996</v>
      </c>
      <c r="BC39" s="15">
        <f t="shared" si="275"/>
        <v>1.7898186381467374</v>
      </c>
      <c r="BD39" s="15">
        <f t="shared" si="275"/>
        <v>0.00275417257144574</v>
      </c>
      <c r="BE39" s="15">
        <f t="shared" si="203"/>
        <v>0.12681319327978344</v>
      </c>
      <c r="BF39" s="15">
        <f t="shared" si="276"/>
        <v>0.05010689470871192</v>
      </c>
      <c r="BG39" s="15">
        <f t="shared" si="276"/>
        <v>0.0015506607929515418</v>
      </c>
      <c r="BH39" s="15">
        <f t="shared" si="276"/>
        <v>0.5088774426613472</v>
      </c>
      <c r="BI39" s="15">
        <f t="shared" si="276"/>
        <v>0.3022608038175807</v>
      </c>
      <c r="BJ39" s="15">
        <f t="shared" si="276"/>
        <v>0.0037109403361466563</v>
      </c>
      <c r="BK39" s="15">
        <f t="shared" si="276"/>
        <v>0</v>
      </c>
      <c r="BL39" s="15">
        <f t="shared" si="206"/>
        <v>0.029802984509027082</v>
      </c>
      <c r="BM39" s="15">
        <f t="shared" si="207"/>
        <v>2.815695730823732</v>
      </c>
      <c r="BN39" s="15">
        <f t="shared" si="208"/>
        <v>2.1309120635150087</v>
      </c>
      <c r="BP39" s="22">
        <f t="shared" si="17"/>
        <v>1.9069730637654434</v>
      </c>
      <c r="BQ39" s="22">
        <f t="shared" si="18"/>
        <v>0.00293444977874794</v>
      </c>
      <c r="BR39" s="22">
        <f t="shared" si="209"/>
        <v>0.0930269362345566</v>
      </c>
      <c r="BS39" s="22">
        <f t="shared" si="210"/>
        <v>0.08712490601394404</v>
      </c>
      <c r="BT39" s="22">
        <f t="shared" si="21"/>
        <v>0.18015184224850064</v>
      </c>
      <c r="BU39" s="22">
        <f t="shared" si="22"/>
        <v>0.1067733864000706</v>
      </c>
      <c r="BV39" s="22">
        <f t="shared" si="23"/>
        <v>0.0033043217901201896</v>
      </c>
      <c r="BW39" s="22">
        <f t="shared" si="24"/>
        <v>1.0843730814177317</v>
      </c>
      <c r="BX39" s="22">
        <f t="shared" si="25"/>
        <v>0.6440911931826261</v>
      </c>
      <c r="BY39" s="22">
        <f t="shared" si="26"/>
        <v>0.015815375058558703</v>
      </c>
      <c r="BZ39" s="22">
        <f t="shared" si="27"/>
        <v>0</v>
      </c>
      <c r="CA39" s="22">
        <f t="shared" si="28"/>
        <v>0.04233835947935783</v>
      </c>
      <c r="CB39" s="15">
        <f t="shared" si="211"/>
        <v>3.9867550731211567</v>
      </c>
      <c r="CC39" s="15">
        <f t="shared" si="212"/>
        <v>0</v>
      </c>
      <c r="CD39" s="15">
        <f t="shared" si="213"/>
        <v>-0.0398667888122084</v>
      </c>
      <c r="CE39" s="15">
        <f t="shared" si="214"/>
        <v>0.015815375058558703</v>
      </c>
      <c r="CF39" s="15">
        <f t="shared" si="215"/>
        <v>0.07130953095538534</v>
      </c>
      <c r="CG39" s="15">
        <f t="shared" si="216"/>
        <v>0.010858702639585632</v>
      </c>
      <c r="CH39" s="15">
        <f t="shared" si="217"/>
        <v>0.021169179739678915</v>
      </c>
      <c r="CI39" s="15">
        <f t="shared" si="218"/>
        <v>0.5407537798479762</v>
      </c>
      <c r="CJ39" s="15">
        <f t="shared" si="219"/>
        <v>0.32519634398491304</v>
      </c>
      <c r="CK39" s="15">
        <f t="shared" si="220"/>
        <v>0.2952270320893276</v>
      </c>
      <c r="CL39" s="15">
        <f t="shared" si="221"/>
        <v>0.4909192137873793</v>
      </c>
      <c r="CM39" s="15">
        <f t="shared" si="222"/>
        <v>0.9851029122260979</v>
      </c>
      <c r="CN39" s="15">
        <f t="shared" si="223"/>
        <v>0.5407537798479762</v>
      </c>
      <c r="CO39" s="15"/>
      <c r="CP39" s="1">
        <f t="shared" si="224"/>
        <v>0.9103608252344643</v>
      </c>
      <c r="CQ39" s="15">
        <f t="shared" si="225"/>
        <v>0.1067733864000706</v>
      </c>
      <c r="CR39" s="15">
        <f t="shared" si="226"/>
        <v>0.3207983748507721</v>
      </c>
      <c r="CS39" s="22">
        <f t="shared" si="227"/>
        <v>0.5116772454728077</v>
      </c>
      <c r="CT39" s="22">
        <f t="shared" si="228"/>
        <v>0.44763665422138965</v>
      </c>
      <c r="CU39" s="22">
        <f t="shared" si="127"/>
        <v>0.299570351050537</v>
      </c>
      <c r="CV39" s="1">
        <f t="shared" si="47"/>
        <v>0.9430084065221697</v>
      </c>
      <c r="CW39" s="1">
        <f t="shared" si="48"/>
        <v>0.0006259483116922138</v>
      </c>
      <c r="CX39" s="1">
        <f t="shared" si="49"/>
        <v>0.03403262031561087</v>
      </c>
      <c r="CY39" s="1">
        <f t="shared" si="50"/>
        <v>0.07516034206306788</v>
      </c>
      <c r="CZ39" s="1">
        <f t="shared" si="51"/>
        <v>0.0016916299559471366</v>
      </c>
      <c r="DA39" s="1">
        <f t="shared" si="52"/>
        <v>0.8143031530056272</v>
      </c>
      <c r="DB39" s="1">
        <f t="shared" si="53"/>
        <v>0.027818693448697696</v>
      </c>
      <c r="DC39" s="1">
        <f t="shared" si="54"/>
        <v>0.0006453809280255055</v>
      </c>
      <c r="DD39" s="1">
        <f t="shared" si="55"/>
        <v>0</v>
      </c>
      <c r="DE39" s="1">
        <f t="shared" si="56"/>
        <v>0.006184283761255067</v>
      </c>
      <c r="DF39" s="1">
        <f t="shared" si="229"/>
        <v>1.903470458312093</v>
      </c>
      <c r="DH39" s="15">
        <f t="shared" si="277"/>
        <v>1.8860168130443393</v>
      </c>
      <c r="DI39" s="15">
        <f t="shared" si="277"/>
        <v>0.0012518966233844276</v>
      </c>
      <c r="DJ39" s="15">
        <f t="shared" si="231"/>
        <v>0.10209786094683261</v>
      </c>
      <c r="DK39" s="15">
        <f t="shared" si="278"/>
        <v>0.07516034206306788</v>
      </c>
      <c r="DL39" s="15">
        <f t="shared" si="278"/>
        <v>0.0016916299559471366</v>
      </c>
      <c r="DM39" s="15">
        <f t="shared" si="278"/>
        <v>0.8143031530056272</v>
      </c>
      <c r="DN39" s="15">
        <f t="shared" si="278"/>
        <v>0.027818693448697696</v>
      </c>
      <c r="DO39" s="15">
        <f t="shared" si="278"/>
        <v>0.0006453809280255055</v>
      </c>
      <c r="DP39" s="15">
        <f t="shared" si="278"/>
        <v>0</v>
      </c>
      <c r="DQ39" s="15">
        <f t="shared" si="234"/>
        <v>0.0185528512837652</v>
      </c>
      <c r="DR39" s="15">
        <f t="shared" si="235"/>
        <v>2.927538621299687</v>
      </c>
      <c r="DS39" s="15">
        <f t="shared" si="236"/>
        <v>2.0495032777180877</v>
      </c>
      <c r="DU39" s="22">
        <f t="shared" si="64"/>
        <v>1.9326988200828976</v>
      </c>
      <c r="DV39" s="22">
        <f t="shared" si="65"/>
        <v>0.0012828831164952955</v>
      </c>
      <c r="DW39" s="22">
        <f t="shared" si="237"/>
        <v>0.06730117991710238</v>
      </c>
      <c r="DX39" s="22">
        <f t="shared" si="238"/>
        <v>0.07219875385525693</v>
      </c>
      <c r="DY39" s="22">
        <f t="shared" si="68"/>
        <v>0.1394999337723593</v>
      </c>
      <c r="DZ39" s="22">
        <f t="shared" si="69"/>
        <v>0.15404136741267027</v>
      </c>
      <c r="EA39" s="22">
        <f t="shared" si="70"/>
        <v>0.0034670011393997608</v>
      </c>
      <c r="EB39" s="22">
        <f t="shared" si="71"/>
        <v>1.6689169811412063</v>
      </c>
      <c r="EC39" s="22">
        <f t="shared" si="72"/>
        <v>0.057014503404940624</v>
      </c>
      <c r="ED39" s="22">
        <f t="shared" si="73"/>
        <v>0.0026454206547300296</v>
      </c>
      <c r="EE39" s="22">
        <f t="shared" si="74"/>
        <v>0</v>
      </c>
      <c r="EF39" s="22">
        <f t="shared" si="75"/>
        <v>0.025349419678062007</v>
      </c>
      <c r="EG39" s="15">
        <f t="shared" si="239"/>
        <v>3.9849163304027613</v>
      </c>
      <c r="EH39" s="15">
        <f t="shared" si="240"/>
        <v>0</v>
      </c>
      <c r="EI39" s="15">
        <f t="shared" si="241"/>
        <v>-0.045422292504838424</v>
      </c>
      <c r="EJ39" s="15">
        <f t="shared" si="242"/>
        <v>0.0026454206547300296</v>
      </c>
      <c r="EK39" s="15">
        <f t="shared" si="243"/>
        <v>0.0012828831164952955</v>
      </c>
      <c r="EL39" s="15">
        <f t="shared" si="244"/>
        <v>0.025349419678062007</v>
      </c>
      <c r="EM39" s="15">
        <f t="shared" si="245"/>
        <v>0.04420391352246489</v>
      </c>
      <c r="EN39" s="15">
        <f t="shared" si="246"/>
        <v>0.057014503404940624</v>
      </c>
      <c r="EO39" s="15">
        <f t="shared" si="247"/>
        <v>0.861962024824688</v>
      </c>
      <c r="EP39" s="15">
        <f t="shared" si="248"/>
        <v>0.7876276249507617</v>
      </c>
      <c r="EQ39" s="15">
        <f t="shared" si="249"/>
        <v>0.052097652345779205</v>
      </c>
      <c r="ER39" s="15">
        <f t="shared" si="250"/>
        <v>0.7071728844910774</v>
      </c>
      <c r="ES39" s="15">
        <f t="shared" si="251"/>
        <v>0.05850004779940751</v>
      </c>
      <c r="ET39" s="15">
        <f t="shared" si="252"/>
        <v>0.08450076082915925</v>
      </c>
      <c r="EU39" s="15">
        <f t="shared" si="253"/>
        <v>0.7424266985881758</v>
      </c>
      <c r="EV39" s="15">
        <f t="shared" si="254"/>
        <v>0.9924581652013809</v>
      </c>
      <c r="EX39" s="1">
        <f t="shared" si="92"/>
        <v>1300</v>
      </c>
      <c r="EY39" s="1">
        <f t="shared" si="93"/>
        <v>10</v>
      </c>
      <c r="FA39" s="1">
        <f t="shared" si="255"/>
        <v>0.369180866602133</v>
      </c>
      <c r="FB39" s="1">
        <f t="shared" si="256"/>
        <v>1359.0818131884475</v>
      </c>
      <c r="FD39" s="1">
        <f t="shared" si="257"/>
        <v>1276.6297407073216</v>
      </c>
      <c r="FE39" s="1">
        <f t="shared" si="258"/>
        <v>1146.3599727022247</v>
      </c>
      <c r="FF39" s="1">
        <f t="shared" si="259"/>
        <v>1356.6349259269136</v>
      </c>
      <c r="FG39" s="1">
        <f t="shared" si="260"/>
        <v>1226.3904198336584</v>
      </c>
      <c r="FH39" s="1">
        <f t="shared" si="261"/>
        <v>0.4536350048003286</v>
      </c>
      <c r="FI39" s="1">
        <f t="shared" si="262"/>
        <v>1613.3065963862882</v>
      </c>
      <c r="FJ39" s="1">
        <f t="shared" si="263"/>
        <v>1245.6054522306877</v>
      </c>
      <c r="FL39" s="1">
        <f t="shared" si="264"/>
        <v>1424.5833933124827</v>
      </c>
      <c r="FM39" s="1">
        <f t="shared" si="265"/>
        <v>828.3594719636031</v>
      </c>
      <c r="FO39" s="1">
        <f t="shared" si="266"/>
        <v>54.058191148518105</v>
      </c>
      <c r="FP39" s="1">
        <f t="shared" si="267"/>
        <v>40.51559194039923</v>
      </c>
      <c r="FR39" s="1">
        <f t="shared" si="268"/>
        <v>26.0071</v>
      </c>
      <c r="FS39" s="1">
        <f t="shared" si="269"/>
        <v>31.5754</v>
      </c>
      <c r="FT39" s="1">
        <f t="shared" si="270"/>
        <v>11.11</v>
      </c>
      <c r="FU39" s="1">
        <f t="shared" si="271"/>
        <v>1078.0989662052202</v>
      </c>
      <c r="FV39" s="1">
        <f t="shared" si="272"/>
        <v>1171.5070843785397</v>
      </c>
      <c r="FX39" s="1">
        <f t="shared" si="112"/>
        <v>1147.789271045628</v>
      </c>
      <c r="FY39" s="1">
        <f t="shared" si="113"/>
        <v>1275.4973127585095</v>
      </c>
      <c r="GA39" s="1">
        <f t="shared" si="114"/>
        <v>1413.7985733407972</v>
      </c>
      <c r="GC39" s="1">
        <f t="shared" si="128"/>
        <v>10.289105366948261</v>
      </c>
      <c r="GD39" s="1">
        <f t="shared" si="115"/>
        <v>0.2891053669482613</v>
      </c>
      <c r="GE39" s="2">
        <f t="shared" si="116"/>
        <v>10</v>
      </c>
    </row>
    <row r="40" spans="4:187" ht="12.75">
      <c r="D40" s="1"/>
      <c r="E40" s="1"/>
      <c r="AF40"/>
      <c r="GE40" s="1"/>
    </row>
    <row r="41" ht="12.75">
      <c r="AF41"/>
    </row>
    <row r="42" ht="12.75">
      <c r="AF42"/>
    </row>
    <row r="43" ht="12.75">
      <c r="AF43"/>
    </row>
    <row r="44" ht="12.75">
      <c r="AF44"/>
    </row>
    <row r="45" ht="12.75">
      <c r="AF45"/>
    </row>
    <row r="46" ht="12.75">
      <c r="AF46"/>
    </row>
  </sheetData>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CSUF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Keith Putirka</dc:creator>
  <cp:keywords/>
  <dc:description/>
  <cp:lastModifiedBy>Keith Putirka</cp:lastModifiedBy>
  <dcterms:created xsi:type="dcterms:W3CDTF">2008-10-11T16:54:59Z</dcterms:created>
  <dcterms:modified xsi:type="dcterms:W3CDTF">2008-12-02T17:33:17Z</dcterms:modified>
  <cp:category/>
  <cp:version/>
  <cp:contentType/>
  <cp:contentStatus/>
</cp:coreProperties>
</file>